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risb/Documents/1-PROJECTS/#1659 FGT substrate/economics/"/>
    </mc:Choice>
  </mc:AlternateContent>
  <xr:revisionPtr revIDLastSave="0" documentId="8_{70AB9854-3789-644A-AFCE-F463BD49E038}" xr6:coauthVersionLast="47" xr6:coauthVersionMax="47" xr10:uidLastSave="{00000000-0000-0000-0000-000000000000}"/>
  <bookViews>
    <workbookView xWindow="6200" yWindow="5020" windowWidth="31220" windowHeight="19640" xr2:uid="{5D6E0EB3-CFED-A54E-8E83-78B9D0269829}"/>
  </bookViews>
  <sheets>
    <sheet name="GM calc" sheetId="1" r:id="rId1"/>
    <sheet name="substrate costs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3" i="1" l="1"/>
  <c r="I62" i="1" l="1"/>
  <c r="I61" i="1"/>
  <c r="I60" i="1"/>
  <c r="I59" i="1"/>
  <c r="I58" i="1"/>
  <c r="I55" i="1"/>
  <c r="I54" i="1"/>
  <c r="I53" i="1"/>
  <c r="I52" i="1"/>
  <c r="F132" i="1" l="1"/>
  <c r="I105" i="1"/>
  <c r="K101" i="1"/>
  <c r="G97" i="1"/>
  <c r="I97" i="1" s="1"/>
  <c r="I100" i="1"/>
  <c r="I98" i="1"/>
  <c r="I90" i="1"/>
  <c r="I86" i="1"/>
  <c r="I45" i="1"/>
  <c r="I46" i="1"/>
  <c r="I47" i="1"/>
  <c r="I48" i="1"/>
  <c r="I44" i="1"/>
  <c r="I43" i="1"/>
  <c r="I42" i="1"/>
  <c r="I40" i="1"/>
  <c r="I41" i="1"/>
  <c r="I51" i="1"/>
  <c r="G66" i="1"/>
  <c r="F12" i="1"/>
  <c r="F15" i="1"/>
  <c r="H16" i="1" s="1"/>
  <c r="E35" i="1" s="1"/>
  <c r="G96" i="1" l="1"/>
  <c r="I96" i="1" s="1"/>
  <c r="K100" i="1"/>
  <c r="E50" i="1"/>
  <c r="C139" i="1"/>
  <c r="C138" i="1"/>
  <c r="C137" i="1"/>
  <c r="C136" i="1"/>
  <c r="C135" i="1"/>
  <c r="C134" i="1"/>
  <c r="C133" i="1"/>
  <c r="C131" i="1"/>
  <c r="C130" i="1"/>
  <c r="C129" i="1"/>
  <c r="C128" i="1"/>
  <c r="C127" i="1"/>
  <c r="E93" i="1"/>
  <c r="I93" i="1" s="1"/>
  <c r="E91" i="1"/>
  <c r="I82" i="1"/>
  <c r="F131" i="1"/>
  <c r="H18" i="1"/>
  <c r="H20" i="1" s="1"/>
  <c r="G102" i="1" s="1"/>
  <c r="I102" i="1" l="1"/>
  <c r="I103" i="1"/>
  <c r="E101" i="1"/>
  <c r="I101" i="1" s="1"/>
  <c r="I91" i="1"/>
  <c r="H65" i="1"/>
  <c r="H68" i="1" s="1"/>
  <c r="I33" i="1"/>
  <c r="H35" i="1"/>
  <c r="I35" i="1" s="1"/>
  <c r="F128" i="1" s="1"/>
  <c r="F130" i="1"/>
  <c r="G87" i="1"/>
  <c r="H22" i="1"/>
  <c r="D152" i="1"/>
  <c r="F127" i="1" l="1"/>
  <c r="I87" i="1"/>
  <c r="F136" i="1" s="1"/>
  <c r="E37" i="1"/>
  <c r="I37" i="1" s="1"/>
  <c r="F129" i="1" s="1"/>
  <c r="G80" i="1"/>
  <c r="I80" i="1" s="1"/>
  <c r="G78" i="1"/>
  <c r="I78" i="1" s="1"/>
  <c r="H24" i="1"/>
  <c r="G77" i="1"/>
  <c r="I77" i="1" s="1"/>
  <c r="H28" i="1"/>
  <c r="I30" i="1" s="1"/>
  <c r="G70" i="1" l="1"/>
  <c r="E81" i="1"/>
  <c r="G81" i="1" s="1"/>
  <c r="G79" i="1"/>
  <c r="I79" i="1" s="1"/>
  <c r="H27" i="1"/>
  <c r="F150" i="1" s="1"/>
  <c r="G150" i="1" s="1"/>
  <c r="F124" i="1"/>
  <c r="E92" i="1" l="1"/>
  <c r="I92" i="1" s="1"/>
  <c r="F104" i="1"/>
  <c r="I104" i="1"/>
  <c r="I68" i="1"/>
  <c r="F133" i="1" s="1"/>
  <c r="I70" i="1"/>
  <c r="F134" i="1" s="1"/>
  <c r="F137" i="1"/>
  <c r="I124" i="1"/>
  <c r="I125" i="1" s="1"/>
  <c r="H124" i="1"/>
  <c r="H125" i="1" s="1"/>
  <c r="E150" i="1"/>
  <c r="I81" i="1"/>
  <c r="G83" i="1"/>
  <c r="I83" i="1" s="1"/>
  <c r="F125" i="1"/>
  <c r="G108" i="1"/>
  <c r="I108" i="1" s="1"/>
  <c r="I109" i="1" s="1"/>
  <c r="F138" i="1" l="1"/>
  <c r="J105" i="1"/>
  <c r="J83" i="1"/>
  <c r="F139" i="1"/>
  <c r="F135" i="1"/>
  <c r="F140" i="1" l="1"/>
  <c r="G132" i="1" s="1"/>
  <c r="G138" i="1"/>
  <c r="I110" i="1"/>
  <c r="G152" i="1"/>
  <c r="E152" i="1"/>
  <c r="G137" i="1"/>
  <c r="G133" i="1" l="1"/>
  <c r="G128" i="1"/>
  <c r="G129" i="1"/>
  <c r="G135" i="1"/>
  <c r="G130" i="1"/>
  <c r="G134" i="1"/>
  <c r="G139" i="1"/>
  <c r="G136" i="1"/>
  <c r="F141" i="1"/>
  <c r="H140" i="1"/>
  <c r="H141" i="1" s="1"/>
  <c r="G131" i="1"/>
  <c r="I140" i="1"/>
  <c r="I141" i="1" s="1"/>
  <c r="G140" i="1"/>
  <c r="G127" i="1"/>
  <c r="F152" i="1" l="1"/>
  <c r="D165" i="1"/>
  <c r="I142" i="1"/>
  <c r="H142" i="1"/>
  <c r="C157" i="1"/>
</calcChain>
</file>

<file path=xl/sharedStrings.xml><?xml version="1.0" encoding="utf-8"?>
<sst xmlns="http://schemas.openxmlformats.org/spreadsheetml/2006/main" count="185" uniqueCount="170">
  <si>
    <t>Income</t>
  </si>
  <si>
    <t>Grams per punnet</t>
  </si>
  <si>
    <t>Punnets per tray</t>
  </si>
  <si>
    <t>Nominated gross price/punnet</t>
  </si>
  <si>
    <t>Price per kg</t>
  </si>
  <si>
    <t>Gross value</t>
  </si>
  <si>
    <t>Plants</t>
  </si>
  <si>
    <t xml:space="preserve">Fertigation </t>
  </si>
  <si>
    <t>Diseases</t>
  </si>
  <si>
    <t>Beneficials</t>
  </si>
  <si>
    <t>Irrigation</t>
  </si>
  <si>
    <t>Average runs a day</t>
  </si>
  <si>
    <t>Irrigation pulse</t>
  </si>
  <si>
    <t>Drip pumping cost</t>
  </si>
  <si>
    <t>Water cost</t>
  </si>
  <si>
    <t>Tunnel strawberry production gross margin (continued)</t>
  </si>
  <si>
    <t>Packing and transport</t>
  </si>
  <si>
    <t>Punnets</t>
  </si>
  <si>
    <t>Trays</t>
  </si>
  <si>
    <t>Labels</t>
  </si>
  <si>
    <t>Freight</t>
  </si>
  <si>
    <t>Supervision</t>
  </si>
  <si>
    <t>Packhouse costs</t>
  </si>
  <si>
    <t>Repairs and maintenance component</t>
  </si>
  <si>
    <t>Mowing</t>
  </si>
  <si>
    <t>Spraying</t>
  </si>
  <si>
    <t>Harvesting</t>
  </si>
  <si>
    <t>Tunnel cover management</t>
  </si>
  <si>
    <t>Levies</t>
  </si>
  <si>
    <t>Royalties, marketing etc.</t>
  </si>
  <si>
    <t>Total variable costs</t>
  </si>
  <si>
    <t>Gross margin</t>
  </si>
  <si>
    <t>Substrate strawberry summary</t>
  </si>
  <si>
    <t>Price</t>
  </si>
  <si>
    <t>Strawberry sales</t>
  </si>
  <si>
    <t xml:space="preserve">Total income </t>
  </si>
  <si>
    <t>Variable costs</t>
  </si>
  <si>
    <t>Base</t>
  </si>
  <si>
    <t>STRAWBERRY PRODUCTION - substrate</t>
  </si>
  <si>
    <t>Adapted from</t>
  </si>
  <si>
    <t>NRE Tas investment analysis 17/8</t>
  </si>
  <si>
    <t>Tunnel width (m)</t>
  </si>
  <si>
    <t>Rows per 'table'</t>
  </si>
  <si>
    <t>Plant Spacing (m)</t>
  </si>
  <si>
    <t>Nominated yield per plant, Class 1 fruit (g/plant)</t>
  </si>
  <si>
    <t>$/kg or $/L</t>
  </si>
  <si>
    <t>rate g/ha or L/ha</t>
  </si>
  <si>
    <t>Product name</t>
  </si>
  <si>
    <t>Pests/Insects</t>
  </si>
  <si>
    <t>No of applications</t>
  </si>
  <si>
    <t>Nutrient solution</t>
  </si>
  <si>
    <t xml:space="preserve">Electricity </t>
  </si>
  <si>
    <t>Packing materials other than punnets and trays</t>
  </si>
  <si>
    <t xml:space="preserve">Re-skin tunnel and major maintenance annually </t>
  </si>
  <si>
    <t>Bag/substrate removal</t>
  </si>
  <si>
    <r>
      <t xml:space="preserve">Equipment </t>
    </r>
    <r>
      <rPr>
        <sz val="11"/>
        <color rgb="FF002060"/>
        <rFont val="Calibri"/>
        <family val="2"/>
        <scheme val="minor"/>
      </rPr>
      <t>- fuel &amp; repairs</t>
    </r>
  </si>
  <si>
    <t>Planting inc substrate placement</t>
  </si>
  <si>
    <t>Fertigation</t>
  </si>
  <si>
    <t>% of Income</t>
  </si>
  <si>
    <t>Other casual labour</t>
  </si>
  <si>
    <t>check</t>
  </si>
  <si>
    <t>% of variable costs</t>
  </si>
  <si>
    <t>How much can a new substrate cost to still be viable?</t>
  </si>
  <si>
    <t>A new substrate may affect yield and quality. How much change can be tolerated?</t>
  </si>
  <si>
    <t xml:space="preserve">Tunnel strawberry production - substrate </t>
  </si>
  <si>
    <t>This may change with substrate type</t>
  </si>
  <si>
    <t>Current GM</t>
  </si>
  <si>
    <t xml:space="preserve">marginal? </t>
  </si>
  <si>
    <t>'Tables' per tunnel</t>
  </si>
  <si>
    <t>Tunnel length (m)</t>
  </si>
  <si>
    <t>DTT=2 or STT=1</t>
  </si>
  <si>
    <t>Plant density, plants/m2 of tunnel</t>
  </si>
  <si>
    <t>per m2 information</t>
  </si>
  <si>
    <t>Plants per meter</t>
  </si>
  <si>
    <t>Spacing - table plus walkway</t>
  </si>
  <si>
    <t>Gross Harvested Yield (kg/m2)</t>
  </si>
  <si>
    <t>Net Saleable Yield (kg/m2)</t>
  </si>
  <si>
    <t>Punnets per m2</t>
  </si>
  <si>
    <t>$/planted m2</t>
  </si>
  <si>
    <t>Total  Income per m2 tunnel area</t>
  </si>
  <si>
    <t>plants/m2</t>
  </si>
  <si>
    <t>AgChem pest and disease control</t>
  </si>
  <si>
    <t>Other products</t>
  </si>
  <si>
    <t>Name(s)</t>
  </si>
  <si>
    <t>$/m2</t>
  </si>
  <si>
    <t xml:space="preserve">$/planted m2 </t>
  </si>
  <si>
    <t>Costs per m2</t>
  </si>
  <si>
    <t>Labour</t>
  </si>
  <si>
    <t>$/planted m3</t>
  </si>
  <si>
    <t>Harvest days</t>
  </si>
  <si>
    <t>per bag/trough</t>
  </si>
  <si>
    <t>links to spray application details above</t>
  </si>
  <si>
    <t xml:space="preserve">ML/m2 via drip </t>
  </si>
  <si>
    <t>Dripper placment and removal</t>
  </si>
  <si>
    <t>kg/m2:</t>
  </si>
  <si>
    <t>Finalise packing/pelletising and check weighing</t>
  </si>
  <si>
    <t>frequency or number/season</t>
  </si>
  <si>
    <t>Can specify type of labour here or in extra rows</t>
  </si>
  <si>
    <t>Total variable costs/m2</t>
  </si>
  <si>
    <t>Gross margin/m2</t>
  </si>
  <si>
    <t>Substrate desinfestation and or recycling costs to be included in substrate costs above</t>
  </si>
  <si>
    <t>How much can be spend on desinfestation per m2?</t>
  </si>
  <si>
    <t xml:space="preserve">Recycling / reuse </t>
  </si>
  <si>
    <t>Suggest that this cost will be allocated to the crop the substarte will be used for e.g. raspberries</t>
  </si>
  <si>
    <t>Substrate 'end of life' (waste) management costs</t>
  </si>
  <si>
    <t>Suggest to allocate to substrate costs for the crop it is last used for</t>
  </si>
  <si>
    <t>Substrate removal &amp; cleaning tables etc for next crop</t>
  </si>
  <si>
    <t xml:space="preserve">This table shows the impact of increasing the substrate cost on GM. The price of the material is included. </t>
  </si>
  <si>
    <t>Effect of fruit price</t>
  </si>
  <si>
    <t>Cost of substrate  ($ per bag or trough)</t>
  </si>
  <si>
    <t>Strawberry price variation ($ per punnet)</t>
  </si>
  <si>
    <t>Substrate, also refer to comments at the end of GM table re desinfestation, recycling and waste</t>
  </si>
  <si>
    <t>Total Packing and transport</t>
  </si>
  <si>
    <t>Blue cells are for entering data</t>
  </si>
  <si>
    <t>Green cells contain formulars</t>
  </si>
  <si>
    <t>Items that may change with substrates are in red font</t>
  </si>
  <si>
    <t>Plants/m does not account for gaps between bags or troughs, can be adjusted to do so</t>
  </si>
  <si>
    <t>Shrinkage, loss, not salebale %</t>
  </si>
  <si>
    <t>Trays per m2 greenhouse</t>
  </si>
  <si>
    <t>Monitoring</t>
  </si>
  <si>
    <t>Nutrition</t>
  </si>
  <si>
    <t>Scouting</t>
  </si>
  <si>
    <t>Number of times</t>
  </si>
  <si>
    <t>Type</t>
  </si>
  <si>
    <t>untis/ha</t>
  </si>
  <si>
    <t>units/ha</t>
  </si>
  <si>
    <t>$/unit</t>
  </si>
  <si>
    <t xml:space="preserve">A new substrate may affect nutrient solution and volume. </t>
  </si>
  <si>
    <t>Bag or trough dimensions m3 can be used to estimate substrate need</t>
  </si>
  <si>
    <t xml:space="preserve">A new substrate may affect nutrient solution composition and volume. </t>
  </si>
  <si>
    <t>COMMENTS</t>
  </si>
  <si>
    <t>Emitters per 1m bag or trough</t>
  </si>
  <si>
    <t>Costs will change automatically with marketable yield</t>
  </si>
  <si>
    <t>Replace $/bag or $/trough cost with cost of recycled or alternative substrate; recycled substrate costs to include mixing e.g. of used coir with new substrate.</t>
  </si>
  <si>
    <t>Substrate pest and disease testing (e.g. DNA)</t>
  </si>
  <si>
    <t>Casual/other labour</t>
  </si>
  <si>
    <t>Pruning /training</t>
  </si>
  <si>
    <t>Bag/trough length</t>
  </si>
  <si>
    <t>cost/plant</t>
  </si>
  <si>
    <t>cost per trough</t>
  </si>
  <si>
    <t>Input costs per m2</t>
  </si>
  <si>
    <t xml:space="preserve">Substrate nutrient testing </t>
  </si>
  <si>
    <t>coir</t>
  </si>
  <si>
    <t>Coir</t>
  </si>
  <si>
    <t>labour</t>
  </si>
  <si>
    <t>mixing substarte (cost per m2)</t>
  </si>
  <si>
    <t>coir volume per trough (m2)</t>
  </si>
  <si>
    <t>Recycled coir with pine bark 50%:50%</t>
  </si>
  <si>
    <t>cost per m2 (CoF)</t>
  </si>
  <si>
    <t>cost of pinebark per m2 (CoF)</t>
  </si>
  <si>
    <t>total/trough</t>
  </si>
  <si>
    <t xml:space="preserve"> cost per bag/slab (CoF)</t>
  </si>
  <si>
    <t>mixed substrate  volume per trough (m2)</t>
  </si>
  <si>
    <t>substrate</t>
  </si>
  <si>
    <t>bag/slab removal</t>
  </si>
  <si>
    <t>seperating plastic</t>
  </si>
  <si>
    <t>Labour (cost per 100m)</t>
  </si>
  <si>
    <t>waste coir management (if not reused)</t>
  </si>
  <si>
    <t>Cost of waste -slabs</t>
  </si>
  <si>
    <t>plastic disposal</t>
  </si>
  <si>
    <t>assuming no difference in planting costs beween all options</t>
  </si>
  <si>
    <t>are plants removed seperatley?</t>
  </si>
  <si>
    <t>cost of plant removal per 100 m</t>
  </si>
  <si>
    <t>cost of turning slabs &amp; replanting per 100m</t>
  </si>
  <si>
    <t>Reusing coir slabs</t>
  </si>
  <si>
    <t>Cost of waste - coir or mixed substrate from troughs if not reused</t>
  </si>
  <si>
    <t>Cost of emptying troughs per 100m</t>
  </si>
  <si>
    <t>troughs per m3 substrate</t>
  </si>
  <si>
    <t>Cost of handling per m2</t>
  </si>
  <si>
    <t>Cost of disposal per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</si>
</sst>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5">
    <numFmt numFmtId="7" formatCode="&quot;$&quot;#,##0.00_);\(&quot;$&quot;#,##0.00\)"/>
    <numFmt numFmtId="44" formatCode="_(&quot;$&quot;* #,##0.00_);_(&quot;$&quot;* \(#,##0.00\);_(&quot;$&quot;* &quot;-&quot;??_);_(@_)"/>
    <numFmt numFmtId="164" formatCode="0.0&quot; m&quot;"/>
    <numFmt numFmtId="165" formatCode="0&quot; grams/plant&quot;"/>
    <numFmt numFmtId="166" formatCode="&quot;$&quot;#,##0.00"/>
    <numFmt numFmtId="167" formatCode="&quot;$&quot;#,##0.00&quot;/punnet&quot;"/>
    <numFmt numFmtId="168" formatCode="&quot;$&quot;#,##0"/>
    <numFmt numFmtId="169" formatCode="#,##0.0&quot; t/ha&quot;"/>
    <numFmt numFmtId="170" formatCode="&quot;$&quot;#,##0&quot; /t&quot;"/>
    <numFmt numFmtId="171" formatCode="&quot;$&quot;#,##0;&quot;$&quot;\-#,##0"/>
    <numFmt numFmtId="172" formatCode="&quot;$&quot;#,##0.00&quot; /bag&quot;;\-&quot;$&quot;#,##0.00&quot; /bag&quot;"/>
    <numFmt numFmtId="173" formatCode="&quot;$&quot;#,##0.00&quot; /pl&quot;;\-&quot;$&quot;#,##0.00&quot; /pl&quot;"/>
    <numFmt numFmtId="174" formatCode="&quot;$&quot;#,##0&quot; /ML&quot;;\-&quot;$&quot;#,##0&quot; /ML&quot;"/>
    <numFmt numFmtId="175" formatCode="#,##0&quot; gm/ha&quot;"/>
    <numFmt numFmtId="176" formatCode="&quot;$&quot;#,##0&quot; /kg&quot;"/>
    <numFmt numFmtId="177" formatCode="#,##0.0&quot; l/ha&quot;"/>
    <numFmt numFmtId="178" formatCode="&quot;$&quot;#,##0.00&quot; /l&quot;"/>
    <numFmt numFmtId="179" formatCode="#,##0.0&quot; kg/ha&quot;"/>
    <numFmt numFmtId="180" formatCode="&quot;$&quot;#,##0.00&quot; /kg&quot;"/>
    <numFmt numFmtId="181" formatCode="#,##0.00&quot; units/ha&quot;"/>
    <numFmt numFmtId="182" formatCode="&quot;$&quot;#,##0&quot; /unit&quot;"/>
    <numFmt numFmtId="183" formatCode="0&quot; l/hr&quot;"/>
    <numFmt numFmtId="184" formatCode="0&quot; growing days&quot;"/>
    <numFmt numFmtId="185" formatCode="0.0&quot; min&quot;"/>
    <numFmt numFmtId="186" formatCode="&quot;$&quot;#,##0&quot; /ML&quot;;&quot;$&quot;\-#,##0"/>
    <numFmt numFmtId="187" formatCode="000,000&quot; punnets&quot;"/>
    <numFmt numFmtId="188" formatCode="&quot;$&quot;#,##0.00&quot; /punnet&quot;;&quot;$&quot;\-#,##0.00"/>
    <numFmt numFmtId="189" formatCode="0,000&quot; trays&quot;"/>
    <numFmt numFmtId="190" formatCode="&quot;$&quot;#,##0.00&quot; /label&quot;;&quot;$&quot;\-#,##0.00"/>
    <numFmt numFmtId="191" formatCode="0&quot; trays per pallet&quot;"/>
    <numFmt numFmtId="192" formatCode="0&quot; $/pallet&quot;"/>
    <numFmt numFmtId="193" formatCode="0.0&quot; hrs/ha&quot;"/>
    <numFmt numFmtId="194" formatCode="&quot;$&quot;#,##0&quot; /hr&quot;;[Red]\-&quot;$&quot;#,##0"/>
    <numFmt numFmtId="195" formatCode="0&quot; years&quot;"/>
    <numFmt numFmtId="196" formatCode="&quot;$&quot;#,##0&quot; /ha&quot;;\-&quot;$&quot;#,##0&quot; /ha&quot;"/>
    <numFmt numFmtId="197" formatCode="0,000&quot; bags&quot;"/>
    <numFmt numFmtId="198" formatCode="0.0&quot; hrs/ML&quot;"/>
    <numFmt numFmtId="199" formatCode="&quot;$&quot;#,##0.00&quot; /pl&quot;;[Red]\-&quot;$&quot;#,##0.00"/>
    <numFmt numFmtId="200" formatCode="0&quot; hrs/ha&quot;"/>
    <numFmt numFmtId="201" formatCode="&quot;$&quot;#,##0.00&quot; /kg&quot;;[Red]\-&quot;$&quot;#,##0.00"/>
    <numFmt numFmtId="202" formatCode="#,##0&quot; kg/hr&quot;"/>
    <numFmt numFmtId="203" formatCode="0.0&quot; hr/ha/applicn.&quot;"/>
    <numFmt numFmtId="204" formatCode="0.0%"/>
    <numFmt numFmtId="205" formatCode="&quot;$&quot;#,##0&quot; /ha&quot;;&quot;$&quot;\-#,##0"/>
    <numFmt numFmtId="206" formatCode="#,##0&quot; kg/ha&quot;"/>
    <numFmt numFmtId="207" formatCode="#,##0.0"/>
    <numFmt numFmtId="208" formatCode="0.000&quot; m&quot;"/>
    <numFmt numFmtId="209" formatCode="#,##0.000"/>
    <numFmt numFmtId="210" formatCode="0.0000000&quot; ML/m2/annum&quot;"/>
    <numFmt numFmtId="211" formatCode="00.0&quot; emmitters/m2&quot;"/>
    <numFmt numFmtId="212" formatCode="0.000000&quot; ML/ha&quot;"/>
    <numFmt numFmtId="213" formatCode="#,##0.0000"/>
    <numFmt numFmtId="214" formatCode="_(&quot;$&quot;* #,##0.000_);_(&quot;$&quot;* \(#,##0.000\);_(&quot;$&quot;* &quot;-&quot;??_);_(@_)"/>
    <numFmt numFmtId="215" formatCode="_(&quot;$&quot;* #,##0.0000_);_(&quot;$&quot;* \(#,##0.0000\);_(&quot;$&quot;* &quot;-&quot;??_);_(@_)"/>
    <numFmt numFmtId="216" formatCode="0.000000&quot; ML/m2&quot;"/>
    <numFmt numFmtId="217" formatCode="#,#00&quot; bags or troughs&quot;"/>
    <numFmt numFmtId="218" formatCode="&quot;$&quot;#,##0.00&quot; /bag or trough&quot;;\-&quot;$&quot;#,##0.00&quot; /bag or trough&quot;"/>
    <numFmt numFmtId="219" formatCode="0.000&quot; hrs/m2&quot;"/>
    <numFmt numFmtId="220" formatCode="0.00&quot; pallets&quot;"/>
    <numFmt numFmtId="221" formatCode="0.000000"/>
    <numFmt numFmtId="222" formatCode="#,##0&quot; hrs/ML&quot;"/>
    <numFmt numFmtId="223" formatCode="#,##0&quot; hrs/ha&quot;"/>
    <numFmt numFmtId="224" formatCode="#,##0&quot; kg/m2&quot;"/>
    <numFmt numFmtId="225" formatCode="&quot;$&quot;#,##0.0;&quot;$&quot;\-#,##0.0"/>
    <numFmt numFmtId="226" formatCode="&quot;$&quot;#,##0.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1"/>
      <color rgb="FF002060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2"/>
      <color theme="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C00000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 style="dotted">
        <color indexed="64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dotted">
        <color indexed="64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/>
      <bottom/>
      <diagonal/>
    </border>
    <border>
      <left style="thin">
        <color indexed="64"/>
      </left>
      <right style="thin">
        <color theme="2" tint="-0.249977111117893"/>
      </right>
      <top/>
      <bottom style="thin">
        <color indexed="64"/>
      </bottom>
      <diagonal/>
    </border>
    <border>
      <left style="thin">
        <color indexed="64"/>
      </left>
      <right style="thin">
        <color theme="2" tint="-0.249977111117893"/>
      </right>
      <top style="thin">
        <color indexed="64"/>
      </top>
      <bottom/>
      <diagonal/>
    </border>
    <border>
      <left style="thin">
        <color theme="2" tint="-0.249977111117893"/>
      </left>
      <right style="thin">
        <color indexed="64"/>
      </right>
      <top style="thin">
        <color indexed="64"/>
      </top>
      <bottom/>
      <diagonal/>
    </border>
    <border>
      <left style="thin">
        <color theme="2" tint="-0.249977111117893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4" fillId="0" borderId="0"/>
    <xf numFmtId="44" fontId="1" fillId="0" borderId="0" applyFont="0" applyFill="0" applyBorder="0" applyAlignment="0" applyProtection="0"/>
  </cellStyleXfs>
  <cellXfs count="326">
    <xf numFmtId="0" fontId="0" fillId="0" borderId="0" xfId="0"/>
    <xf numFmtId="0" fontId="5" fillId="0" borderId="0" xfId="3" applyFont="1"/>
    <xf numFmtId="0" fontId="6" fillId="0" borderId="0" xfId="3" applyFont="1"/>
    <xf numFmtId="0" fontId="7" fillId="0" borderId="0" xfId="3" applyFont="1"/>
    <xf numFmtId="17" fontId="8" fillId="0" borderId="0" xfId="3" quotePrefix="1" applyNumberFormat="1" applyFont="1"/>
    <xf numFmtId="0" fontId="5" fillId="0" borderId="0" xfId="3" applyFont="1" applyAlignment="1">
      <alignment horizontal="right"/>
    </xf>
    <xf numFmtId="0" fontId="7" fillId="0" borderId="1" xfId="3" applyFont="1" applyBorder="1"/>
    <xf numFmtId="0" fontId="5" fillId="0" borderId="1" xfId="3" applyFont="1" applyBorder="1"/>
    <xf numFmtId="0" fontId="5" fillId="0" borderId="0" xfId="3" applyFont="1" applyAlignment="1">
      <alignment horizontal="center" vertical="center"/>
    </xf>
    <xf numFmtId="0" fontId="5" fillId="0" borderId="0" xfId="0" applyFont="1"/>
    <xf numFmtId="3" fontId="5" fillId="0" borderId="0" xfId="3" applyNumberFormat="1" applyFont="1"/>
    <xf numFmtId="0" fontId="5" fillId="0" borderId="0" xfId="0" applyFont="1" applyAlignment="1">
      <alignment horizontal="center"/>
    </xf>
    <xf numFmtId="0" fontId="5" fillId="0" borderId="2" xfId="3" applyFont="1" applyBorder="1"/>
    <xf numFmtId="0" fontId="7" fillId="0" borderId="2" xfId="3" applyFont="1" applyBorder="1"/>
    <xf numFmtId="9" fontId="7" fillId="0" borderId="2" xfId="3" applyNumberFormat="1" applyFont="1" applyBorder="1"/>
    <xf numFmtId="9" fontId="5" fillId="0" borderId="2" xfId="3" applyNumberFormat="1" applyFont="1" applyBorder="1"/>
    <xf numFmtId="169" fontId="5" fillId="0" borderId="2" xfId="3" applyNumberFormat="1" applyFont="1" applyBorder="1"/>
    <xf numFmtId="170" fontId="5" fillId="0" borderId="2" xfId="3" applyNumberFormat="1" applyFont="1" applyBorder="1"/>
    <xf numFmtId="3" fontId="5" fillId="0" borderId="2" xfId="3" applyNumberFormat="1" applyFont="1" applyBorder="1"/>
    <xf numFmtId="0" fontId="5" fillId="0" borderId="0" xfId="3" applyFont="1" applyAlignment="1">
      <alignment horizontal="center"/>
    </xf>
    <xf numFmtId="0" fontId="5" fillId="0" borderId="2" xfId="3" applyFont="1" applyBorder="1" applyAlignment="1">
      <alignment horizontal="center"/>
    </xf>
    <xf numFmtId="0" fontId="8" fillId="0" borderId="3" xfId="3" applyFont="1" applyBorder="1"/>
    <xf numFmtId="0" fontId="5" fillId="0" borderId="3" xfId="3" applyFont="1" applyBorder="1"/>
    <xf numFmtId="0" fontId="5" fillId="0" borderId="3" xfId="3" applyFont="1" applyBorder="1" applyAlignment="1">
      <alignment horizontal="center"/>
    </xf>
    <xf numFmtId="3" fontId="5" fillId="0" borderId="3" xfId="3" applyNumberFormat="1" applyFont="1" applyBorder="1"/>
    <xf numFmtId="187" fontId="5" fillId="0" borderId="0" xfId="3" applyNumberFormat="1" applyFont="1" applyAlignment="1">
      <alignment horizontal="right"/>
    </xf>
    <xf numFmtId="187" fontId="5" fillId="0" borderId="0" xfId="3" applyNumberFormat="1" applyFont="1"/>
    <xf numFmtId="189" fontId="5" fillId="0" borderId="0" xfId="3" applyNumberFormat="1" applyFont="1" applyAlignment="1">
      <alignment horizontal="right"/>
    </xf>
    <xf numFmtId="189" fontId="5" fillId="0" borderId="0" xfId="3" applyNumberFormat="1" applyFont="1" applyAlignment="1">
      <alignment horizontal="center"/>
    </xf>
    <xf numFmtId="195" fontId="5" fillId="0" borderId="0" xfId="3" applyNumberFormat="1" applyFont="1" applyAlignment="1">
      <alignment horizontal="center"/>
    </xf>
    <xf numFmtId="203" fontId="5" fillId="0" borderId="0" xfId="3" applyNumberFormat="1" applyFont="1"/>
    <xf numFmtId="194" fontId="5" fillId="0" borderId="0" xfId="3" applyNumberFormat="1" applyFont="1"/>
    <xf numFmtId="0" fontId="5" fillId="0" borderId="2" xfId="3" applyFont="1" applyBorder="1" applyAlignment="1">
      <alignment horizontal="right"/>
    </xf>
    <xf numFmtId="0" fontId="7" fillId="3" borderId="0" xfId="3" applyFont="1" applyFill="1" applyAlignment="1">
      <alignment vertical="center"/>
    </xf>
    <xf numFmtId="0" fontId="5" fillId="3" borderId="0" xfId="3" applyFont="1" applyFill="1" applyAlignment="1">
      <alignment vertical="center"/>
    </xf>
    <xf numFmtId="0" fontId="7" fillId="3" borderId="5" xfId="3" applyFont="1" applyFill="1" applyBorder="1" applyAlignment="1">
      <alignment vertical="center"/>
    </xf>
    <xf numFmtId="0" fontId="5" fillId="3" borderId="5" xfId="3" applyFont="1" applyFill="1" applyBorder="1" applyAlignment="1">
      <alignment vertical="center"/>
    </xf>
    <xf numFmtId="0" fontId="8" fillId="0" borderId="0" xfId="3" applyFont="1" applyAlignment="1">
      <alignment horizontal="right"/>
    </xf>
    <xf numFmtId="171" fontId="5" fillId="0" borderId="1" xfId="3" applyNumberFormat="1" applyFont="1" applyBorder="1" applyAlignment="1">
      <alignment horizontal="right"/>
    </xf>
    <xf numFmtId="0" fontId="5" fillId="0" borderId="1" xfId="3" applyFont="1" applyBorder="1" applyAlignment="1">
      <alignment horizontal="right"/>
    </xf>
    <xf numFmtId="0" fontId="5" fillId="0" borderId="0" xfId="3" applyFont="1" applyAlignment="1">
      <alignment horizontal="left" indent="2"/>
    </xf>
    <xf numFmtId="3" fontId="3" fillId="0" borderId="0" xfId="3" applyNumberFormat="1" applyFont="1" applyAlignment="1">
      <alignment horizontal="right"/>
    </xf>
    <xf numFmtId="3" fontId="3" fillId="0" borderId="0" xfId="3" applyNumberFormat="1" applyFont="1" applyAlignment="1">
      <alignment horizontal="left"/>
    </xf>
    <xf numFmtId="0" fontId="7" fillId="3" borderId="6" xfId="3" applyFont="1" applyFill="1" applyBorder="1" applyAlignment="1">
      <alignment vertical="center"/>
    </xf>
    <xf numFmtId="0" fontId="5" fillId="3" borderId="6" xfId="3" applyFont="1" applyFill="1" applyBorder="1" applyAlignment="1">
      <alignment vertical="center"/>
    </xf>
    <xf numFmtId="171" fontId="7" fillId="3" borderId="6" xfId="3" applyNumberFormat="1" applyFont="1" applyFill="1" applyBorder="1" applyAlignment="1">
      <alignment vertical="center"/>
    </xf>
    <xf numFmtId="3" fontId="5" fillId="0" borderId="0" xfId="3" applyNumberFormat="1" applyFont="1" applyAlignment="1">
      <alignment horizontal="left"/>
    </xf>
    <xf numFmtId="0" fontId="7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71" fontId="7" fillId="0" borderId="0" xfId="3" applyNumberFormat="1" applyFont="1" applyAlignment="1">
      <alignment vertical="center"/>
    </xf>
    <xf numFmtId="3" fontId="3" fillId="0" borderId="0" xfId="3" applyNumberFormat="1" applyFont="1"/>
    <xf numFmtId="0" fontId="7" fillId="3" borderId="4" xfId="3" applyFont="1" applyFill="1" applyBorder="1" applyAlignment="1">
      <alignment vertical="center"/>
    </xf>
    <xf numFmtId="0" fontId="5" fillId="3" borderId="4" xfId="3" applyFont="1" applyFill="1" applyBorder="1" applyAlignment="1">
      <alignment vertical="center"/>
    </xf>
    <xf numFmtId="186" fontId="5" fillId="0" borderId="0" xfId="3" applyNumberFormat="1" applyFont="1" applyAlignment="1">
      <alignment horizontal="right"/>
    </xf>
    <xf numFmtId="9" fontId="5" fillId="0" borderId="0" xfId="1" applyFont="1"/>
    <xf numFmtId="9" fontId="5" fillId="0" borderId="0" xfId="1" applyFont="1" applyAlignment="1">
      <alignment horizontal="left"/>
    </xf>
    <xf numFmtId="0" fontId="5" fillId="0" borderId="4" xfId="3" applyFont="1" applyBorder="1"/>
    <xf numFmtId="0" fontId="7" fillId="0" borderId="0" xfId="3" applyFont="1" applyAlignment="1">
      <alignment horizontal="center"/>
    </xf>
    <xf numFmtId="0" fontId="5" fillId="0" borderId="3" xfId="3" applyFont="1" applyBorder="1" applyAlignment="1">
      <alignment horizontal="right" indent="2"/>
    </xf>
    <xf numFmtId="0" fontId="5" fillId="0" borderId="2" xfId="3" applyFont="1" applyBorder="1" applyAlignment="1">
      <alignment horizontal="left" indent="2"/>
    </xf>
    <xf numFmtId="180" fontId="5" fillId="0" borderId="2" xfId="3" applyNumberFormat="1" applyFont="1" applyBorder="1" applyAlignment="1">
      <alignment horizontal="right" indent="2"/>
    </xf>
    <xf numFmtId="0" fontId="5" fillId="0" borderId="4" xfId="3" applyFont="1" applyBorder="1" applyAlignment="1">
      <alignment horizontal="center"/>
    </xf>
    <xf numFmtId="3" fontId="5" fillId="0" borderId="4" xfId="3" applyNumberFormat="1" applyFont="1" applyBorder="1"/>
    <xf numFmtId="0" fontId="3" fillId="0" borderId="0" xfId="2" applyFont="1" applyAlignment="1"/>
    <xf numFmtId="0" fontId="5" fillId="4" borderId="0" xfId="3" applyFont="1" applyFill="1"/>
    <xf numFmtId="10" fontId="5" fillId="0" borderId="0" xfId="1" applyNumberFormat="1" applyFont="1"/>
    <xf numFmtId="0" fontId="10" fillId="0" borderId="0" xfId="3" applyFont="1" applyAlignment="1">
      <alignment vertical="center"/>
    </xf>
    <xf numFmtId="0" fontId="10" fillId="0" borderId="0" xfId="3" applyFont="1" applyAlignment="1">
      <alignment horizontal="left" indent="2"/>
    </xf>
    <xf numFmtId="3" fontId="10" fillId="0" borderId="0" xfId="3" applyNumberFormat="1" applyFont="1"/>
    <xf numFmtId="10" fontId="10" fillId="0" borderId="0" xfId="1" applyNumberFormat="1" applyFont="1"/>
    <xf numFmtId="3" fontId="5" fillId="0" borderId="0" xfId="3" applyNumberFormat="1" applyFont="1" applyAlignment="1">
      <alignment horizontal="right"/>
    </xf>
    <xf numFmtId="0" fontId="10" fillId="0" borderId="0" xfId="3" applyFont="1"/>
    <xf numFmtId="0" fontId="5" fillId="2" borderId="0" xfId="3" applyFont="1" applyFill="1" applyAlignment="1" applyProtection="1">
      <alignment horizontal="center"/>
      <protection locked="0"/>
    </xf>
    <xf numFmtId="188" fontId="5" fillId="2" borderId="0" xfId="3" applyNumberFormat="1" applyFont="1" applyFill="1" applyAlignment="1" applyProtection="1">
      <alignment horizontal="right"/>
      <protection locked="0"/>
    </xf>
    <xf numFmtId="190" fontId="5" fillId="2" borderId="0" xfId="3" applyNumberFormat="1" applyFont="1" applyFill="1" applyAlignment="1" applyProtection="1">
      <alignment horizontal="right"/>
      <protection locked="0"/>
    </xf>
    <xf numFmtId="192" fontId="5" fillId="2" borderId="0" xfId="3" applyNumberFormat="1" applyFont="1" applyFill="1" applyAlignment="1" applyProtection="1">
      <alignment horizontal="right"/>
      <protection locked="0"/>
    </xf>
    <xf numFmtId="194" fontId="5" fillId="2" borderId="0" xfId="3" applyNumberFormat="1" applyFont="1" applyFill="1" applyAlignment="1" applyProtection="1">
      <alignment horizontal="right"/>
      <protection locked="0"/>
    </xf>
    <xf numFmtId="191" fontId="5" fillId="2" borderId="0" xfId="3" applyNumberFormat="1" applyFont="1" applyFill="1" applyAlignment="1" applyProtection="1">
      <alignment horizontal="center"/>
      <protection locked="0"/>
    </xf>
    <xf numFmtId="196" fontId="5" fillId="2" borderId="0" xfId="3" applyNumberFormat="1" applyFont="1" applyFill="1" applyProtection="1">
      <protection locked="0"/>
    </xf>
    <xf numFmtId="172" fontId="5" fillId="2" borderId="0" xfId="3" applyNumberFormat="1" applyFont="1" applyFill="1" applyProtection="1">
      <protection locked="0"/>
    </xf>
    <xf numFmtId="193" fontId="5" fillId="2" borderId="0" xfId="3" applyNumberFormat="1" applyFont="1" applyFill="1" applyProtection="1">
      <protection locked="0"/>
    </xf>
    <xf numFmtId="194" fontId="5" fillId="2" borderId="0" xfId="3" applyNumberFormat="1" applyFont="1" applyFill="1" applyProtection="1">
      <protection locked="0"/>
    </xf>
    <xf numFmtId="198" fontId="5" fillId="2" borderId="0" xfId="3" applyNumberFormat="1" applyFont="1" applyFill="1" applyProtection="1">
      <protection locked="0"/>
    </xf>
    <xf numFmtId="204" fontId="5" fillId="2" borderId="2" xfId="1" applyNumberFormat="1" applyFont="1" applyFill="1" applyBorder="1" applyProtection="1">
      <protection locked="0"/>
    </xf>
    <xf numFmtId="200" fontId="5" fillId="2" borderId="0" xfId="3" applyNumberFormat="1" applyFont="1" applyFill="1" applyProtection="1">
      <protection locked="0"/>
    </xf>
    <xf numFmtId="202" fontId="5" fillId="2" borderId="0" xfId="3" applyNumberFormat="1" applyFont="1" applyFill="1" applyProtection="1">
      <protection locked="0"/>
    </xf>
    <xf numFmtId="201" fontId="5" fillId="2" borderId="0" xfId="3" applyNumberFormat="1" applyFont="1" applyFill="1" applyProtection="1">
      <protection locked="0"/>
    </xf>
    <xf numFmtId="9" fontId="5" fillId="2" borderId="3" xfId="3" applyNumberFormat="1" applyFont="1" applyFill="1" applyBorder="1" applyAlignment="1" applyProtection="1">
      <alignment horizontal="right" indent="2"/>
      <protection locked="0"/>
    </xf>
    <xf numFmtId="9" fontId="7" fillId="2" borderId="0" xfId="1" applyFont="1" applyFill="1" applyBorder="1" applyProtection="1">
      <protection locked="0"/>
    </xf>
    <xf numFmtId="9" fontId="7" fillId="2" borderId="0" xfId="1" applyFont="1" applyFill="1" applyBorder="1" applyAlignment="1" applyProtection="1">
      <alignment horizontal="left"/>
      <protection locked="0"/>
    </xf>
    <xf numFmtId="0" fontId="10" fillId="0" borderId="0" xfId="3" applyFont="1" applyAlignment="1">
      <alignment horizontal="center"/>
    </xf>
    <xf numFmtId="0" fontId="10" fillId="2" borderId="0" xfId="3" applyFont="1" applyFill="1" applyAlignment="1" applyProtection="1">
      <alignment horizontal="center"/>
      <protection locked="0"/>
    </xf>
    <xf numFmtId="199" fontId="10" fillId="2" borderId="0" xfId="3" applyNumberFormat="1" applyFont="1" applyFill="1" applyProtection="1">
      <protection locked="0"/>
    </xf>
    <xf numFmtId="171" fontId="5" fillId="0" borderId="0" xfId="3" applyNumberFormat="1" applyFont="1" applyAlignment="1">
      <alignment horizontal="right"/>
    </xf>
    <xf numFmtId="0" fontId="10" fillId="0" borderId="0" xfId="3" applyFont="1" applyProtection="1">
      <protection locked="0"/>
    </xf>
    <xf numFmtId="0" fontId="5" fillId="0" borderId="0" xfId="3" applyFont="1" applyProtection="1">
      <protection locked="0"/>
    </xf>
    <xf numFmtId="0" fontId="8" fillId="0" borderId="0" xfId="3" applyFont="1" applyAlignment="1" applyProtection="1">
      <alignment horizontal="right"/>
      <protection locked="0"/>
    </xf>
    <xf numFmtId="171" fontId="5" fillId="0" borderId="0" xfId="3" applyNumberFormat="1" applyFont="1" applyAlignment="1" applyProtection="1">
      <alignment horizontal="right"/>
      <protection locked="0"/>
    </xf>
    <xf numFmtId="166" fontId="5" fillId="5" borderId="10" xfId="5" applyNumberFormat="1" applyFont="1" applyFill="1" applyBorder="1"/>
    <xf numFmtId="166" fontId="5" fillId="5" borderId="11" xfId="5" applyNumberFormat="1" applyFont="1" applyFill="1" applyBorder="1"/>
    <xf numFmtId="166" fontId="5" fillId="5" borderId="12" xfId="5" applyNumberFormat="1" applyFont="1" applyFill="1" applyBorder="1"/>
    <xf numFmtId="171" fontId="11" fillId="5" borderId="7" xfId="2" applyNumberFormat="1" applyFont="1" applyFill="1" applyBorder="1" applyAlignment="1"/>
    <xf numFmtId="168" fontId="5" fillId="5" borderId="8" xfId="3" applyNumberFormat="1" applyFont="1" applyFill="1" applyBorder="1"/>
    <xf numFmtId="0" fontId="5" fillId="0" borderId="0" xfId="3" applyFont="1" applyAlignment="1">
      <alignment wrapText="1"/>
    </xf>
    <xf numFmtId="0" fontId="10" fillId="0" borderId="0" xfId="3" applyFont="1" applyAlignment="1">
      <alignment wrapText="1"/>
    </xf>
    <xf numFmtId="0" fontId="5" fillId="0" borderId="21" xfId="3" applyFont="1" applyBorder="1"/>
    <xf numFmtId="207" fontId="10" fillId="4" borderId="0" xfId="3" applyNumberFormat="1" applyFont="1" applyFill="1"/>
    <xf numFmtId="4" fontId="5" fillId="4" borderId="0" xfId="3" applyNumberFormat="1" applyFont="1" applyFill="1"/>
    <xf numFmtId="166" fontId="5" fillId="0" borderId="0" xfId="3" applyNumberFormat="1" applyFont="1"/>
    <xf numFmtId="44" fontId="10" fillId="4" borderId="0" xfId="5" applyFont="1" applyFill="1" applyAlignment="1">
      <alignment vertical="center"/>
    </xf>
    <xf numFmtId="7" fontId="5" fillId="0" borderId="0" xfId="3" applyNumberFormat="1" applyFont="1"/>
    <xf numFmtId="44" fontId="5" fillId="4" borderId="0" xfId="5" applyFont="1" applyFill="1"/>
    <xf numFmtId="211" fontId="10" fillId="4" borderId="0" xfId="3" applyNumberFormat="1" applyFont="1" applyFill="1"/>
    <xf numFmtId="213" fontId="10" fillId="0" borderId="0" xfId="3" applyNumberFormat="1" applyFont="1"/>
    <xf numFmtId="0" fontId="7" fillId="5" borderId="1" xfId="3" applyFont="1" applyFill="1" applyBorder="1"/>
    <xf numFmtId="0" fontId="7" fillId="5" borderId="0" xfId="3" applyFont="1" applyFill="1" applyAlignment="1">
      <alignment horizontal="center"/>
    </xf>
    <xf numFmtId="9" fontId="7" fillId="5" borderId="0" xfId="1" applyFont="1" applyFill="1" applyBorder="1"/>
    <xf numFmtId="0" fontId="7" fillId="5" borderId="0" xfId="3" applyFont="1" applyFill="1"/>
    <xf numFmtId="3" fontId="5" fillId="5" borderId="0" xfId="3" applyNumberFormat="1" applyFont="1" applyFill="1"/>
    <xf numFmtId="0" fontId="5" fillId="5" borderId="0" xfId="3" applyFont="1" applyFill="1"/>
    <xf numFmtId="0" fontId="5" fillId="5" borderId="0" xfId="3" applyFont="1" applyFill="1" applyAlignment="1">
      <alignment horizontal="center"/>
    </xf>
    <xf numFmtId="0" fontId="5" fillId="2" borderId="0" xfId="3" applyFont="1" applyFill="1"/>
    <xf numFmtId="0" fontId="5" fillId="2" borderId="1" xfId="3" applyFont="1" applyFill="1" applyBorder="1"/>
    <xf numFmtId="0" fontId="7" fillId="2" borderId="1" xfId="3" applyFont="1" applyFill="1" applyBorder="1"/>
    <xf numFmtId="0" fontId="7" fillId="2" borderId="1" xfId="3" applyFont="1" applyFill="1" applyBorder="1" applyAlignment="1">
      <alignment horizontal="center" vertical="center"/>
    </xf>
    <xf numFmtId="0" fontId="5" fillId="5" borderId="1" xfId="3" applyFont="1" applyFill="1" applyBorder="1"/>
    <xf numFmtId="0" fontId="5" fillId="5" borderId="1" xfId="3" applyFont="1" applyFill="1" applyBorder="1" applyAlignment="1">
      <alignment horizontal="center" vertical="center"/>
    </xf>
    <xf numFmtId="219" fontId="5" fillId="2" borderId="0" xfId="3" applyNumberFormat="1" applyFont="1" applyFill="1" applyAlignment="1" applyProtection="1">
      <alignment horizontal="right"/>
      <protection locked="0"/>
    </xf>
    <xf numFmtId="1" fontId="5" fillId="4" borderId="0" xfId="3" applyNumberFormat="1" applyFont="1" applyFill="1" applyAlignment="1">
      <alignment horizontal="center"/>
    </xf>
    <xf numFmtId="220" fontId="5" fillId="0" borderId="0" xfId="3" applyNumberFormat="1" applyFont="1" applyAlignment="1">
      <alignment horizontal="right"/>
    </xf>
    <xf numFmtId="197" fontId="5" fillId="4" borderId="0" xfId="3" applyNumberFormat="1" applyFont="1" applyFill="1"/>
    <xf numFmtId="221" fontId="5" fillId="0" borderId="0" xfId="3" applyNumberFormat="1" applyFont="1" applyAlignment="1">
      <alignment horizontal="center"/>
    </xf>
    <xf numFmtId="2" fontId="0" fillId="0" borderId="0" xfId="0" applyNumberFormat="1"/>
    <xf numFmtId="0" fontId="5" fillId="4" borderId="0" xfId="3" applyFont="1" applyFill="1" applyAlignment="1">
      <alignment horizontal="right"/>
    </xf>
    <xf numFmtId="9" fontId="5" fillId="0" borderId="0" xfId="3" applyNumberFormat="1" applyFont="1" applyAlignment="1">
      <alignment horizontal="right"/>
    </xf>
    <xf numFmtId="216" fontId="5" fillId="0" borderId="0" xfId="3" applyNumberFormat="1" applyFont="1"/>
    <xf numFmtId="222" fontId="5" fillId="2" borderId="0" xfId="3" applyNumberFormat="1" applyFont="1" applyFill="1" applyProtection="1">
      <protection locked="0"/>
    </xf>
    <xf numFmtId="223" fontId="5" fillId="2" borderId="0" xfId="3" applyNumberFormat="1" applyFont="1" applyFill="1" applyProtection="1">
      <protection locked="0"/>
    </xf>
    <xf numFmtId="171" fontId="5" fillId="0" borderId="0" xfId="3" applyNumberFormat="1" applyFont="1" applyAlignment="1">
      <alignment wrapText="1"/>
    </xf>
    <xf numFmtId="44" fontId="5" fillId="0" borderId="0" xfId="3" applyNumberFormat="1" applyFont="1"/>
    <xf numFmtId="209" fontId="5" fillId="0" borderId="0" xfId="3" applyNumberFormat="1" applyFont="1"/>
    <xf numFmtId="0" fontId="10" fillId="0" borderId="0" xfId="3" applyFont="1" applyAlignment="1">
      <alignment vertical="center" wrapText="1"/>
    </xf>
    <xf numFmtId="0" fontId="10" fillId="2" borderId="0" xfId="3" applyFont="1" applyFill="1" applyAlignment="1" applyProtection="1">
      <alignment horizontal="center" vertical="center"/>
      <protection locked="0"/>
    </xf>
    <xf numFmtId="200" fontId="10" fillId="2" borderId="0" xfId="3" applyNumberFormat="1" applyFont="1" applyFill="1" applyAlignment="1" applyProtection="1">
      <alignment vertical="center"/>
      <protection locked="0"/>
    </xf>
    <xf numFmtId="194" fontId="10" fillId="2" borderId="0" xfId="3" applyNumberFormat="1" applyFont="1" applyFill="1" applyAlignment="1" applyProtection="1">
      <alignment vertical="center"/>
      <protection locked="0"/>
    </xf>
    <xf numFmtId="0" fontId="5" fillId="0" borderId="0" xfId="3" applyFont="1" applyAlignment="1">
      <alignment vertical="center" wrapText="1"/>
    </xf>
    <xf numFmtId="213" fontId="5" fillId="0" borderId="0" xfId="3" applyNumberFormat="1" applyFont="1"/>
    <xf numFmtId="206" fontId="5" fillId="0" borderId="0" xfId="3" applyNumberFormat="1" applyFont="1" applyAlignment="1">
      <alignment horizontal="left" indent="2"/>
    </xf>
    <xf numFmtId="224" fontId="5" fillId="0" borderId="4" xfId="3" applyNumberFormat="1" applyFont="1" applyBorder="1" applyAlignment="1">
      <alignment horizontal="left" indent="2"/>
    </xf>
    <xf numFmtId="0" fontId="12" fillId="6" borderId="0" xfId="3" applyFont="1" applyFill="1"/>
    <xf numFmtId="0" fontId="5" fillId="6" borderId="0" xfId="3" applyFont="1" applyFill="1"/>
    <xf numFmtId="0" fontId="12" fillId="6" borderId="0" xfId="3" applyFont="1" applyFill="1" applyProtection="1">
      <protection locked="0"/>
    </xf>
    <xf numFmtId="0" fontId="5" fillId="6" borderId="0" xfId="3" applyFont="1" applyFill="1" applyProtection="1">
      <protection locked="0"/>
    </xf>
    <xf numFmtId="0" fontId="8" fillId="6" borderId="0" xfId="3" applyFont="1" applyFill="1" applyAlignment="1" applyProtection="1">
      <alignment horizontal="right"/>
      <protection locked="0"/>
    </xf>
    <xf numFmtId="0" fontId="7" fillId="2" borderId="0" xfId="3" applyFont="1" applyFill="1"/>
    <xf numFmtId="17" fontId="15" fillId="4" borderId="0" xfId="3" quotePrefix="1" applyNumberFormat="1" applyFont="1" applyFill="1"/>
    <xf numFmtId="0" fontId="14" fillId="3" borderId="2" xfId="3" applyFont="1" applyFill="1" applyBorder="1" applyAlignment="1">
      <alignment vertical="center"/>
    </xf>
    <xf numFmtId="0" fontId="1" fillId="3" borderId="2" xfId="3" applyFont="1" applyFill="1" applyBorder="1" applyAlignment="1">
      <alignment vertical="center"/>
    </xf>
    <xf numFmtId="44" fontId="1" fillId="0" borderId="0" xfId="3" applyNumberFormat="1" applyFont="1"/>
    <xf numFmtId="0" fontId="1" fillId="0" borderId="0" xfId="3" applyFont="1" applyAlignment="1">
      <alignment wrapText="1"/>
    </xf>
    <xf numFmtId="0" fontId="1" fillId="0" borderId="0" xfId="3" applyFont="1"/>
    <xf numFmtId="1" fontId="5" fillId="0" borderId="0" xfId="3" applyNumberFormat="1" applyFont="1" applyAlignment="1" applyProtection="1">
      <alignment horizontal="center"/>
      <protection locked="0"/>
    </xf>
    <xf numFmtId="0" fontId="5" fillId="0" borderId="0" xfId="4" applyFont="1" applyProtection="1">
      <protection locked="0"/>
    </xf>
    <xf numFmtId="179" fontId="5" fillId="0" borderId="0" xfId="3" applyNumberFormat="1" applyFont="1" applyProtection="1">
      <protection locked="0"/>
    </xf>
    <xf numFmtId="180" fontId="9" fillId="0" borderId="0" xfId="3" applyNumberFormat="1" applyFont="1" applyProtection="1">
      <protection locked="0"/>
    </xf>
    <xf numFmtId="1" fontId="7" fillId="5" borderId="0" xfId="3" applyNumberFormat="1" applyFont="1" applyFill="1" applyAlignment="1" applyProtection="1">
      <alignment horizontal="center"/>
      <protection locked="0"/>
    </xf>
    <xf numFmtId="181" fontId="7" fillId="5" borderId="0" xfId="3" applyNumberFormat="1" applyFont="1" applyFill="1" applyProtection="1">
      <protection locked="0"/>
    </xf>
    <xf numFmtId="44" fontId="7" fillId="5" borderId="0" xfId="5" applyFont="1" applyFill="1"/>
    <xf numFmtId="0" fontId="5" fillId="5" borderId="0" xfId="3" applyFont="1" applyFill="1" applyAlignment="1">
      <alignment wrapText="1"/>
    </xf>
    <xf numFmtId="0" fontId="5" fillId="0" borderId="22" xfId="3" applyFont="1" applyBorder="1" applyAlignment="1">
      <alignment wrapText="1"/>
    </xf>
    <xf numFmtId="1" fontId="5" fillId="2" borderId="23" xfId="3" applyNumberFormat="1" applyFont="1" applyFill="1" applyBorder="1" applyAlignment="1" applyProtection="1">
      <alignment horizontal="center"/>
      <protection locked="0"/>
    </xf>
    <xf numFmtId="0" fontId="5" fillId="2" borderId="23" xfId="4" applyFont="1" applyFill="1" applyBorder="1" applyProtection="1">
      <protection locked="0"/>
    </xf>
    <xf numFmtId="175" fontId="5" fillId="2" borderId="23" xfId="3" applyNumberFormat="1" applyFont="1" applyFill="1" applyBorder="1" applyProtection="1">
      <protection locked="0"/>
    </xf>
    <xf numFmtId="176" fontId="5" fillId="2" borderId="23" xfId="3" applyNumberFormat="1" applyFont="1" applyFill="1" applyBorder="1" applyProtection="1">
      <protection locked="0"/>
    </xf>
    <xf numFmtId="177" fontId="5" fillId="2" borderId="23" xfId="3" applyNumberFormat="1" applyFont="1" applyFill="1" applyBorder="1" applyProtection="1">
      <protection locked="0"/>
    </xf>
    <xf numFmtId="178" fontId="5" fillId="2" borderId="23" xfId="3" applyNumberFormat="1" applyFont="1" applyFill="1" applyBorder="1" applyProtection="1">
      <protection locked="0"/>
    </xf>
    <xf numFmtId="179" fontId="5" fillId="2" borderId="23" xfId="3" applyNumberFormat="1" applyFont="1" applyFill="1" applyBorder="1" applyProtection="1">
      <protection locked="0"/>
    </xf>
    <xf numFmtId="180" fontId="9" fillId="2" borderId="23" xfId="3" applyNumberFormat="1" applyFont="1" applyFill="1" applyBorder="1" applyProtection="1">
      <protection locked="0"/>
    </xf>
    <xf numFmtId="0" fontId="5" fillId="2" borderId="23" xfId="3" applyFont="1" applyFill="1" applyBorder="1"/>
    <xf numFmtId="181" fontId="5" fillId="2" borderId="23" xfId="3" applyNumberFormat="1" applyFont="1" applyFill="1" applyBorder="1" applyProtection="1">
      <protection locked="0"/>
    </xf>
    <xf numFmtId="182" fontId="5" fillId="2" borderId="23" xfId="3" applyNumberFormat="1" applyFont="1" applyFill="1" applyBorder="1" applyProtection="1">
      <protection locked="0"/>
    </xf>
    <xf numFmtId="3" fontId="5" fillId="0" borderId="23" xfId="3" applyNumberFormat="1" applyFont="1" applyBorder="1"/>
    <xf numFmtId="44" fontId="5" fillId="4" borderId="23" xfId="5" applyFont="1" applyFill="1" applyBorder="1"/>
    <xf numFmtId="1" fontId="10" fillId="2" borderId="23" xfId="3" applyNumberFormat="1" applyFont="1" applyFill="1" applyBorder="1" applyAlignment="1" applyProtection="1">
      <alignment horizontal="center"/>
      <protection locked="0"/>
    </xf>
    <xf numFmtId="0" fontId="10" fillId="2" borderId="23" xfId="3" applyFont="1" applyFill="1" applyBorder="1"/>
    <xf numFmtId="183" fontId="10" fillId="2" borderId="23" xfId="3" applyNumberFormat="1" applyFont="1" applyFill="1" applyBorder="1" applyProtection="1">
      <protection locked="0"/>
    </xf>
    <xf numFmtId="184" fontId="10" fillId="2" borderId="23" xfId="3" applyNumberFormat="1" applyFont="1" applyFill="1" applyBorder="1" applyProtection="1">
      <protection locked="0"/>
    </xf>
    <xf numFmtId="185" fontId="10" fillId="2" borderId="23" xfId="3" applyNumberFormat="1" applyFont="1" applyFill="1" applyBorder="1" applyAlignment="1" applyProtection="1">
      <alignment horizontal="center"/>
      <protection locked="0"/>
    </xf>
    <xf numFmtId="0" fontId="10" fillId="0" borderId="23" xfId="3" applyFont="1" applyBorder="1"/>
    <xf numFmtId="186" fontId="10" fillId="2" borderId="23" xfId="3" applyNumberFormat="1" applyFont="1" applyFill="1" applyBorder="1" applyProtection="1">
      <protection locked="0"/>
    </xf>
    <xf numFmtId="215" fontId="5" fillId="4" borderId="0" xfId="5" applyNumberFormat="1" applyFont="1" applyFill="1"/>
    <xf numFmtId="44" fontId="10" fillId="4" borderId="0" xfId="5" applyFont="1" applyFill="1"/>
    <xf numFmtId="215" fontId="5" fillId="4" borderId="2" xfId="5" applyNumberFormat="1" applyFont="1" applyFill="1" applyBorder="1"/>
    <xf numFmtId="205" fontId="5" fillId="4" borderId="2" xfId="3" applyNumberFormat="1" applyFont="1" applyFill="1" applyBorder="1"/>
    <xf numFmtId="44" fontId="5" fillId="4" borderId="0" xfId="3" applyNumberFormat="1" applyFont="1" applyFill="1"/>
    <xf numFmtId="225" fontId="7" fillId="3" borderId="0" xfId="3" applyNumberFormat="1" applyFont="1" applyFill="1" applyAlignment="1">
      <alignment vertical="center"/>
    </xf>
    <xf numFmtId="225" fontId="7" fillId="3" borderId="5" xfId="3" applyNumberFormat="1" applyFont="1" applyFill="1" applyBorder="1" applyAlignment="1">
      <alignment vertical="center"/>
    </xf>
    <xf numFmtId="225" fontId="14" fillId="4" borderId="2" xfId="3" applyNumberFormat="1" applyFont="1" applyFill="1" applyBorder="1" applyAlignment="1">
      <alignment vertical="center"/>
    </xf>
    <xf numFmtId="225" fontId="7" fillId="3" borderId="4" xfId="3" applyNumberFormat="1" applyFont="1" applyFill="1" applyBorder="1" applyAlignment="1">
      <alignment vertical="center"/>
    </xf>
    <xf numFmtId="0" fontId="10" fillId="5" borderId="0" xfId="3" applyFont="1" applyFill="1"/>
    <xf numFmtId="3" fontId="10" fillId="5" borderId="0" xfId="3" applyNumberFormat="1" applyFont="1" applyFill="1"/>
    <xf numFmtId="226" fontId="5" fillId="0" borderId="13" xfId="3" applyNumberFormat="1" applyFont="1" applyBorder="1"/>
    <xf numFmtId="226" fontId="5" fillId="0" borderId="14" xfId="3" applyNumberFormat="1" applyFont="1" applyBorder="1"/>
    <xf numFmtId="226" fontId="5" fillId="0" borderId="16" xfId="3" applyNumberFormat="1" applyFont="1" applyBorder="1"/>
    <xf numFmtId="226" fontId="5" fillId="0" borderId="0" xfId="3" applyNumberFormat="1" applyFont="1"/>
    <xf numFmtId="226" fontId="5" fillId="0" borderId="18" xfId="3" applyNumberFormat="1" applyFont="1" applyBorder="1"/>
    <xf numFmtId="226" fontId="5" fillId="0" borderId="19" xfId="3" applyNumberFormat="1" applyFont="1" applyBorder="1"/>
    <xf numFmtId="168" fontId="5" fillId="5" borderId="9" xfId="3" applyNumberFormat="1" applyFont="1" applyFill="1" applyBorder="1" applyAlignment="1">
      <alignment horizontal="left" wrapText="1"/>
    </xf>
    <xf numFmtId="226" fontId="5" fillId="0" borderId="15" xfId="3" applyNumberFormat="1" applyFont="1" applyBorder="1" applyAlignment="1">
      <alignment horizontal="left" wrapText="1"/>
    </xf>
    <xf numFmtId="226" fontId="5" fillId="0" borderId="17" xfId="3" applyNumberFormat="1" applyFont="1" applyBorder="1" applyAlignment="1">
      <alignment horizontal="left" wrapText="1"/>
    </xf>
    <xf numFmtId="226" fontId="5" fillId="0" borderId="20" xfId="3" applyNumberFormat="1" applyFont="1" applyBorder="1" applyAlignment="1">
      <alignment horizontal="left" wrapText="1"/>
    </xf>
    <xf numFmtId="225" fontId="5" fillId="4" borderId="0" xfId="3" applyNumberFormat="1" applyFont="1" applyFill="1"/>
    <xf numFmtId="0" fontId="5" fillId="0" borderId="24" xfId="3" applyFont="1" applyBorder="1"/>
    <xf numFmtId="0" fontId="5" fillId="0" borderId="24" xfId="3" quotePrefix="1" applyFont="1" applyBorder="1"/>
    <xf numFmtId="0" fontId="5" fillId="4" borderId="24" xfId="3" quotePrefix="1" applyFont="1" applyFill="1" applyBorder="1"/>
    <xf numFmtId="0" fontId="5" fillId="4" borderId="24" xfId="3" applyFont="1" applyFill="1" applyBorder="1"/>
    <xf numFmtId="0" fontId="10" fillId="0" borderId="24" xfId="3" applyFont="1" applyBorder="1"/>
    <xf numFmtId="0" fontId="10" fillId="4" borderId="24" xfId="3" applyFont="1" applyFill="1" applyBorder="1" applyAlignment="1">
      <alignment vertical="center"/>
    </xf>
    <xf numFmtId="0" fontId="10" fillId="4" borderId="24" xfId="3" applyFont="1" applyFill="1" applyBorder="1"/>
    <xf numFmtId="0" fontId="5" fillId="0" borderId="24" xfId="0" applyFont="1" applyBorder="1"/>
    <xf numFmtId="164" fontId="5" fillId="2" borderId="24" xfId="3" applyNumberFormat="1" applyFont="1" applyFill="1" applyBorder="1" applyAlignment="1" applyProtection="1">
      <alignment horizontal="center"/>
      <protection locked="0"/>
    </xf>
    <xf numFmtId="0" fontId="5" fillId="2" borderId="24" xfId="3" applyFont="1" applyFill="1" applyBorder="1" applyAlignment="1" applyProtection="1">
      <alignment horizontal="center"/>
      <protection locked="0"/>
    </xf>
    <xf numFmtId="164" fontId="5" fillId="4" borderId="24" xfId="3" applyNumberFormat="1" applyFont="1" applyFill="1" applyBorder="1" applyAlignment="1" applyProtection="1">
      <alignment horizontal="center"/>
      <protection locked="0"/>
    </xf>
    <xf numFmtId="0" fontId="5" fillId="2" borderId="24" xfId="3" applyFont="1" applyFill="1" applyBorder="1" applyAlignment="1">
      <alignment horizontal="center"/>
    </xf>
    <xf numFmtId="208" fontId="5" fillId="4" borderId="24" xfId="3" applyNumberFormat="1" applyFont="1" applyFill="1" applyBorder="1" applyAlignment="1" applyProtection="1">
      <alignment horizontal="center"/>
      <protection locked="0"/>
    </xf>
    <xf numFmtId="165" fontId="10" fillId="2" borderId="24" xfId="3" applyNumberFormat="1" applyFont="1" applyFill="1" applyBorder="1" applyAlignment="1" applyProtection="1">
      <alignment horizontal="center"/>
      <protection locked="0"/>
    </xf>
    <xf numFmtId="0" fontId="10" fillId="0" borderId="24" xfId="0" applyFont="1" applyBorder="1"/>
    <xf numFmtId="9" fontId="10" fillId="2" borderId="24" xfId="1" applyFont="1" applyFill="1" applyBorder="1" applyAlignment="1" applyProtection="1">
      <alignment horizontal="center"/>
      <protection locked="0"/>
    </xf>
    <xf numFmtId="167" fontId="7" fillId="2" borderId="24" xfId="0" applyNumberFormat="1" applyFont="1" applyFill="1" applyBorder="1" applyAlignment="1" applyProtection="1">
      <alignment horizontal="center"/>
      <protection locked="0"/>
    </xf>
    <xf numFmtId="207" fontId="5" fillId="4" borderId="24" xfId="3" applyNumberFormat="1" applyFont="1" applyFill="1" applyBorder="1"/>
    <xf numFmtId="166" fontId="10" fillId="0" borderId="24" xfId="0" applyNumberFormat="1" applyFont="1" applyBorder="1"/>
    <xf numFmtId="4" fontId="10" fillId="4" borderId="24" xfId="3" applyNumberFormat="1" applyFont="1" applyFill="1" applyBorder="1" applyAlignment="1">
      <alignment vertical="center"/>
    </xf>
    <xf numFmtId="3" fontId="10" fillId="0" borderId="24" xfId="3" applyNumberFormat="1" applyFont="1" applyBorder="1"/>
    <xf numFmtId="4" fontId="10" fillId="4" borderId="24" xfId="3" applyNumberFormat="1" applyFont="1" applyFill="1" applyBorder="1"/>
    <xf numFmtId="3" fontId="5" fillId="0" borderId="24" xfId="3" applyNumberFormat="1" applyFont="1" applyBorder="1"/>
    <xf numFmtId="3" fontId="5" fillId="4" borderId="24" xfId="3" applyNumberFormat="1" applyFont="1" applyFill="1" applyBorder="1"/>
    <xf numFmtId="4" fontId="5" fillId="4" borderId="24" xfId="3" applyNumberFormat="1" applyFont="1" applyFill="1" applyBorder="1"/>
    <xf numFmtId="166" fontId="5" fillId="0" borderId="24" xfId="0" applyNumberFormat="1" applyFont="1" applyBorder="1"/>
    <xf numFmtId="166" fontId="5" fillId="4" borderId="24" xfId="0" applyNumberFormat="1" applyFont="1" applyFill="1" applyBorder="1" applyAlignment="1">
      <alignment horizontal="right"/>
    </xf>
    <xf numFmtId="168" fontId="5" fillId="4" borderId="24" xfId="0" applyNumberFormat="1" applyFont="1" applyFill="1" applyBorder="1" applyAlignment="1">
      <alignment horizontal="right"/>
    </xf>
    <xf numFmtId="0" fontId="10" fillId="6" borderId="24" xfId="3" applyFont="1" applyFill="1" applyBorder="1" applyAlignment="1">
      <alignment vertical="center" wrapText="1"/>
    </xf>
    <xf numFmtId="0" fontId="7" fillId="6" borderId="24" xfId="3" applyFont="1" applyFill="1" applyBorder="1"/>
    <xf numFmtId="0" fontId="7" fillId="0" borderId="24" xfId="3" applyFont="1" applyBorder="1"/>
    <xf numFmtId="0" fontId="10" fillId="6" borderId="24" xfId="3" applyFont="1" applyFill="1" applyBorder="1"/>
    <xf numFmtId="0" fontId="12" fillId="6" borderId="24" xfId="3" applyFont="1" applyFill="1" applyBorder="1" applyAlignment="1">
      <alignment vertical="center" wrapText="1"/>
    </xf>
    <xf numFmtId="164" fontId="10" fillId="2" borderId="24" xfId="3" applyNumberFormat="1" applyFont="1" applyFill="1" applyBorder="1" applyAlignment="1" applyProtection="1">
      <alignment horizontal="center" vertical="center"/>
      <protection locked="0"/>
    </xf>
    <xf numFmtId="0" fontId="10" fillId="0" borderId="24" xfId="3" applyFont="1" applyBorder="1" applyAlignment="1">
      <alignment vertical="center"/>
    </xf>
    <xf numFmtId="217" fontId="10" fillId="4" borderId="24" xfId="3" applyNumberFormat="1" applyFont="1" applyFill="1" applyBorder="1" applyAlignment="1">
      <alignment vertical="center"/>
    </xf>
    <xf numFmtId="218" fontId="10" fillId="2" borderId="24" xfId="3" applyNumberFormat="1" applyFont="1" applyFill="1" applyBorder="1" applyAlignment="1" applyProtection="1">
      <alignment vertical="center"/>
      <protection locked="0"/>
    </xf>
    <xf numFmtId="44" fontId="10" fillId="4" borderId="24" xfId="5" applyFont="1" applyFill="1" applyBorder="1" applyAlignment="1">
      <alignment vertical="center"/>
    </xf>
    <xf numFmtId="173" fontId="5" fillId="2" borderId="24" xfId="3" applyNumberFormat="1" applyFont="1" applyFill="1" applyBorder="1" applyProtection="1">
      <protection locked="0"/>
    </xf>
    <xf numFmtId="166" fontId="5" fillId="4" borderId="24" xfId="0" applyNumberFormat="1" applyFont="1" applyFill="1" applyBorder="1" applyAlignment="1">
      <alignment horizontal="center"/>
    </xf>
    <xf numFmtId="44" fontId="5" fillId="4" borderId="24" xfId="5" applyFont="1" applyFill="1" applyBorder="1"/>
    <xf numFmtId="212" fontId="10" fillId="0" borderId="24" xfId="3" applyNumberFormat="1" applyFont="1" applyBorder="1" applyAlignment="1" applyProtection="1">
      <alignment horizontal="center"/>
      <protection locked="0"/>
    </xf>
    <xf numFmtId="174" fontId="10" fillId="2" borderId="24" xfId="3" applyNumberFormat="1" applyFont="1" applyFill="1" applyBorder="1" applyProtection="1">
      <protection locked="0"/>
    </xf>
    <xf numFmtId="214" fontId="10" fillId="0" borderId="24" xfId="5" applyNumberFormat="1" applyFont="1" applyBorder="1"/>
    <xf numFmtId="0" fontId="18" fillId="5" borderId="0" xfId="3" applyFont="1" applyFill="1"/>
    <xf numFmtId="0" fontId="10" fillId="0" borderId="25" xfId="3" applyFont="1" applyBorder="1" applyAlignment="1">
      <alignment horizontal="center"/>
    </xf>
    <xf numFmtId="0" fontId="10" fillId="0" borderId="7" xfId="3" applyFont="1" applyBorder="1"/>
    <xf numFmtId="215" fontId="10" fillId="4" borderId="27" xfId="5" applyNumberFormat="1" applyFont="1" applyFill="1" applyBorder="1"/>
    <xf numFmtId="210" fontId="10" fillId="4" borderId="28" xfId="3" applyNumberFormat="1" applyFont="1" applyFill="1" applyBorder="1"/>
    <xf numFmtId="0" fontId="10" fillId="0" borderId="29" xfId="3" applyFont="1" applyBorder="1"/>
    <xf numFmtId="0" fontId="10" fillId="0" borderId="30" xfId="3" applyFont="1" applyBorder="1"/>
    <xf numFmtId="3" fontId="10" fillId="0" borderId="29" xfId="3" applyNumberFormat="1" applyFont="1" applyBorder="1"/>
    <xf numFmtId="0" fontId="5" fillId="0" borderId="31" xfId="3" applyFont="1" applyBorder="1"/>
    <xf numFmtId="186" fontId="10" fillId="2" borderId="26" xfId="3" applyNumberFormat="1" applyFont="1" applyFill="1" applyBorder="1" applyProtection="1">
      <protection locked="0"/>
    </xf>
    <xf numFmtId="0" fontId="10" fillId="0" borderId="26" xfId="3" applyFont="1" applyBorder="1"/>
    <xf numFmtId="216" fontId="10" fillId="4" borderId="26" xfId="3" applyNumberFormat="1" applyFont="1" applyFill="1" applyBorder="1" applyAlignment="1">
      <alignment horizontal="center"/>
    </xf>
    <xf numFmtId="215" fontId="10" fillId="4" borderId="26" xfId="5" applyNumberFormat="1" applyFont="1" applyFill="1" applyBorder="1"/>
    <xf numFmtId="0" fontId="10" fillId="3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225" fontId="14" fillId="0" borderId="0" xfId="3" applyNumberFormat="1" applyFont="1" applyAlignment="1">
      <alignment vertical="center"/>
    </xf>
    <xf numFmtId="0" fontId="10" fillId="3" borderId="0" xfId="3" applyFont="1" applyFill="1" applyAlignment="1">
      <alignment vertical="center" wrapText="1"/>
    </xf>
    <xf numFmtId="181" fontId="5" fillId="0" borderId="0" xfId="3" applyNumberFormat="1" applyFont="1" applyProtection="1">
      <protection locked="0"/>
    </xf>
    <xf numFmtId="182" fontId="5" fillId="0" borderId="0" xfId="3" applyNumberFormat="1" applyFont="1" applyProtection="1">
      <protection locked="0"/>
    </xf>
    <xf numFmtId="44" fontId="5" fillId="0" borderId="0" xfId="5" applyFont="1" applyFill="1" applyBorder="1"/>
    <xf numFmtId="0" fontId="0" fillId="0" borderId="0" xfId="0" applyAlignment="1">
      <alignment wrapText="1"/>
    </xf>
    <xf numFmtId="0" fontId="0" fillId="0" borderId="24" xfId="0" applyBorder="1"/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0" fillId="7" borderId="20" xfId="0" applyFill="1" applyBorder="1" applyAlignment="1">
      <alignment horizontal="center"/>
    </xf>
    <xf numFmtId="0" fontId="14" fillId="7" borderId="24" xfId="0" applyFont="1" applyFill="1" applyBorder="1" applyAlignment="1">
      <alignment horizontal="center"/>
    </xf>
    <xf numFmtId="0" fontId="17" fillId="10" borderId="24" xfId="0" applyFont="1" applyFill="1" applyBorder="1" applyAlignment="1">
      <alignment horizontal="center"/>
    </xf>
    <xf numFmtId="0" fontId="16" fillId="10" borderId="24" xfId="0" applyFont="1" applyFill="1" applyBorder="1" applyAlignment="1">
      <alignment horizontal="center"/>
    </xf>
    <xf numFmtId="2" fontId="0" fillId="0" borderId="24" xfId="0" applyNumberFormat="1" applyBorder="1"/>
    <xf numFmtId="0" fontId="14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0" fillId="11" borderId="24" xfId="0" applyFill="1" applyBorder="1" applyAlignment="1">
      <alignment wrapText="1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3" applyFont="1" applyAlignment="1">
      <alignment horizontal="center"/>
    </xf>
    <xf numFmtId="0" fontId="5" fillId="0" borderId="0" xfId="3" applyFont="1" applyAlignment="1">
      <alignment horizontal="left" wrapText="1"/>
    </xf>
    <xf numFmtId="0" fontId="5" fillId="0" borderId="10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/>
    </xf>
    <xf numFmtId="0" fontId="5" fillId="0" borderId="9" xfId="3" applyFont="1" applyBorder="1" applyAlignment="1">
      <alignment horizontal="center"/>
    </xf>
    <xf numFmtId="0" fontId="6" fillId="0" borderId="0" xfId="3" applyFont="1" applyAlignment="1">
      <alignment horizontal="center"/>
    </xf>
    <xf numFmtId="0" fontId="6" fillId="0" borderId="4" xfId="3" applyFont="1" applyBorder="1" applyAlignment="1">
      <alignment horizontal="center"/>
    </xf>
    <xf numFmtId="0" fontId="7" fillId="0" borderId="1" xfId="3" applyFont="1" applyBorder="1" applyAlignment="1">
      <alignment horizontal="center"/>
    </xf>
    <xf numFmtId="0" fontId="5" fillId="0" borderId="0" xfId="3" applyFont="1" applyAlignment="1">
      <alignment horizontal="center"/>
    </xf>
    <xf numFmtId="0" fontId="10" fillId="0" borderId="0" xfId="3" applyFont="1" applyAlignment="1">
      <alignment horizontal="left" wrapText="1"/>
    </xf>
    <xf numFmtId="0" fontId="13" fillId="6" borderId="0" xfId="3" applyFont="1" applyFill="1" applyAlignment="1">
      <alignment horizontal="left" wrapText="1"/>
    </xf>
    <xf numFmtId="0" fontId="10" fillId="6" borderId="0" xfId="3" applyFont="1" applyFill="1" applyAlignment="1">
      <alignment horizontal="left" wrapText="1"/>
    </xf>
    <xf numFmtId="0" fontId="14" fillId="8" borderId="33" xfId="0" applyFont="1" applyFill="1" applyBorder="1" applyAlignment="1">
      <alignment horizontal="center" vertical="center"/>
    </xf>
    <xf numFmtId="0" fontId="14" fillId="8" borderId="32" xfId="0" applyFont="1" applyFill="1" applyBorder="1" applyAlignment="1">
      <alignment horizontal="center" vertical="center"/>
    </xf>
    <xf numFmtId="0" fontId="16" fillId="9" borderId="10" xfId="0" applyFont="1" applyFill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center" wrapText="1"/>
    </xf>
    <xf numFmtId="0" fontId="14" fillId="7" borderId="24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11" borderId="34" xfId="0" applyFont="1" applyFill="1" applyBorder="1" applyAlignment="1">
      <alignment horizontal="center" vertical="center" wrapText="1"/>
    </xf>
    <xf numFmtId="0" fontId="14" fillId="11" borderId="35" xfId="0" applyFont="1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14" fillId="12" borderId="2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wrapText="1"/>
    </xf>
    <xf numFmtId="0" fontId="14" fillId="6" borderId="2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6" fillId="10" borderId="0" xfId="0" applyFont="1" applyFill="1" applyAlignment="1">
      <alignment horizontal="center" vertical="center" wrapText="1"/>
    </xf>
    <xf numFmtId="0" fontId="16" fillId="10" borderId="10" xfId="0" applyFont="1" applyFill="1" applyBorder="1" applyAlignment="1">
      <alignment horizontal="center" vertical="center" wrapText="1"/>
    </xf>
    <xf numFmtId="0" fontId="16" fillId="10" borderId="1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</cellXfs>
  <cellStyles count="6">
    <cellStyle name="Currency" xfId="5" builtinId="4"/>
    <cellStyle name="Hyperlink" xfId="2" builtinId="8"/>
    <cellStyle name="Normal" xfId="0" builtinId="0"/>
    <cellStyle name="Normal_Crop Margins" xfId="3" xr:uid="{672D27B2-CFEA-AE4A-B826-F8290921F42B}"/>
    <cellStyle name="Normal_gmexample" xfId="4" xr:uid="{1EE45C73-CDD6-FF47-8DDE-43384263F1BD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4EEC7-E173-4944-98AD-EB7422BF1EB7}">
  <dimension ref="A1:P165"/>
  <sheetViews>
    <sheetView showGridLines="0" tabSelected="1" topLeftCell="A59" zoomScale="110" zoomScaleNormal="110" workbookViewId="0">
      <selection activeCell="E99" sqref="E99"/>
    </sheetView>
  </sheetViews>
  <sheetFormatPr baseColWidth="10" defaultColWidth="9.1640625" defaultRowHeight="15" x14ac:dyDescent="0.2"/>
  <cols>
    <col min="1" max="1" width="2.5" style="1" customWidth="1"/>
    <col min="2" max="2" width="18.33203125" style="1" customWidth="1"/>
    <col min="3" max="3" width="14.6640625" style="1" customWidth="1"/>
    <col min="4" max="4" width="23.33203125" style="1" customWidth="1"/>
    <col min="5" max="5" width="14.83203125" style="1" bestFit="1" customWidth="1"/>
    <col min="6" max="6" width="20.6640625" style="1" bestFit="1" customWidth="1"/>
    <col min="7" max="7" width="18.6640625" style="1" bestFit="1" customWidth="1"/>
    <col min="8" max="8" width="22.6640625" style="1" bestFit="1" customWidth="1"/>
    <col min="9" max="9" width="13.83203125" style="1" bestFit="1" customWidth="1"/>
    <col min="10" max="10" width="11" style="1" customWidth="1"/>
    <col min="11" max="11" width="66.83203125" style="103" bestFit="1" customWidth="1"/>
    <col min="12" max="12" width="37" style="103" customWidth="1"/>
    <col min="13" max="13" width="10.1640625" style="1" customWidth="1"/>
    <col min="14" max="16384" width="9.1640625" style="1"/>
  </cols>
  <sheetData>
    <row r="1" spans="2:11" ht="5.25" customHeight="1" x14ac:dyDescent="0.2"/>
    <row r="2" spans="2:11" ht="19" x14ac:dyDescent="0.25">
      <c r="B2" s="2" t="s">
        <v>38</v>
      </c>
      <c r="F2" s="3"/>
      <c r="G2" s="1" t="s">
        <v>39</v>
      </c>
      <c r="H2" s="1" t="s">
        <v>40</v>
      </c>
    </row>
    <row r="3" spans="2:11" ht="12" customHeight="1" x14ac:dyDescent="0.2">
      <c r="B3" s="3"/>
      <c r="C3" s="3"/>
      <c r="D3" s="3"/>
      <c r="G3" s="4"/>
    </row>
    <row r="4" spans="2:11" ht="18" customHeight="1" x14ac:dyDescent="0.2">
      <c r="B4" s="154" t="s">
        <v>113</v>
      </c>
      <c r="C4" s="154"/>
      <c r="D4" s="291" t="s">
        <v>115</v>
      </c>
      <c r="E4" s="291"/>
      <c r="F4" s="291"/>
      <c r="G4" s="155" t="s">
        <v>114</v>
      </c>
      <c r="H4" s="64"/>
    </row>
    <row r="5" spans="2:11" ht="18" customHeight="1" x14ac:dyDescent="0.2">
      <c r="B5" s="154"/>
      <c r="C5" s="154"/>
      <c r="D5" s="90"/>
      <c r="E5" s="90"/>
      <c r="F5" s="90"/>
      <c r="G5" s="155"/>
      <c r="H5" s="64"/>
      <c r="K5" s="168" t="s">
        <v>130</v>
      </c>
    </row>
    <row r="6" spans="2:11" ht="19" x14ac:dyDescent="0.25">
      <c r="B6" s="298" t="s">
        <v>64</v>
      </c>
      <c r="C6" s="298"/>
      <c r="D6" s="298"/>
      <c r="E6" s="298"/>
      <c r="F6" s="298"/>
      <c r="G6" s="298"/>
      <c r="H6" s="298"/>
      <c r="I6" s="298"/>
    </row>
    <row r="7" spans="2:11" ht="6" customHeight="1" thickBot="1" x14ac:dyDescent="0.25">
      <c r="B7" s="3"/>
      <c r="C7" s="105"/>
      <c r="I7" s="5"/>
    </row>
    <row r="8" spans="2:11" x14ac:dyDescent="0.2">
      <c r="B8" s="114" t="s">
        <v>0</v>
      </c>
      <c r="C8" s="121"/>
      <c r="D8" s="122"/>
      <c r="E8" s="122"/>
      <c r="F8" s="122"/>
      <c r="G8" s="122"/>
      <c r="H8" s="123" t="s">
        <v>72</v>
      </c>
      <c r="I8" s="124" t="s">
        <v>78</v>
      </c>
    </row>
    <row r="9" spans="2:11" x14ac:dyDescent="0.2">
      <c r="B9" s="3"/>
      <c r="C9" s="212" t="s">
        <v>41</v>
      </c>
      <c r="D9" s="212"/>
      <c r="F9" s="220">
        <v>8.5</v>
      </c>
      <c r="I9" s="8"/>
    </row>
    <row r="10" spans="2:11" x14ac:dyDescent="0.2">
      <c r="B10" s="3"/>
      <c r="C10" s="212" t="s">
        <v>69</v>
      </c>
      <c r="D10" s="212"/>
      <c r="F10" s="220">
        <v>50</v>
      </c>
      <c r="I10" s="8"/>
    </row>
    <row r="11" spans="2:11" x14ac:dyDescent="0.2">
      <c r="B11" s="3"/>
      <c r="C11" s="213" t="s">
        <v>68</v>
      </c>
      <c r="D11" s="212"/>
      <c r="F11" s="221">
        <v>5</v>
      </c>
      <c r="I11" s="8"/>
    </row>
    <row r="12" spans="2:11" x14ac:dyDescent="0.2">
      <c r="B12" s="3"/>
      <c r="C12" s="214" t="s">
        <v>74</v>
      </c>
      <c r="D12" s="215"/>
      <c r="F12" s="222">
        <f>F9/F11</f>
        <v>1.7</v>
      </c>
      <c r="I12" s="8"/>
    </row>
    <row r="13" spans="2:11" x14ac:dyDescent="0.2">
      <c r="B13" s="3"/>
      <c r="C13" s="212" t="s">
        <v>42</v>
      </c>
      <c r="D13" s="212" t="s">
        <v>70</v>
      </c>
      <c r="F13" s="221">
        <v>2</v>
      </c>
      <c r="I13" s="8"/>
    </row>
    <row r="14" spans="2:11" x14ac:dyDescent="0.2">
      <c r="B14" s="3"/>
      <c r="C14" s="212" t="s">
        <v>73</v>
      </c>
      <c r="D14" s="212"/>
      <c r="F14" s="223">
        <v>6</v>
      </c>
      <c r="I14" s="8"/>
      <c r="K14" s="1" t="s">
        <v>116</v>
      </c>
    </row>
    <row r="15" spans="2:11" x14ac:dyDescent="0.2">
      <c r="B15" s="3"/>
      <c r="C15" s="215" t="s">
        <v>43</v>
      </c>
      <c r="D15" s="212"/>
      <c r="F15" s="224">
        <f>1/F14</f>
        <v>0.16666666666666666</v>
      </c>
      <c r="I15" s="8"/>
    </row>
    <row r="16" spans="2:11" x14ac:dyDescent="0.2">
      <c r="B16" s="3"/>
      <c r="C16" s="215" t="s">
        <v>71</v>
      </c>
      <c r="D16" s="215"/>
      <c r="E16" s="9"/>
      <c r="F16" s="212"/>
      <c r="H16" s="229">
        <f>((F13*F11)*(1/F9))/F15</f>
        <v>7.0588235294117654</v>
      </c>
    </row>
    <row r="17" spans="2:12" x14ac:dyDescent="0.2">
      <c r="B17" s="3"/>
      <c r="C17" s="216" t="s">
        <v>44</v>
      </c>
      <c r="D17" s="216"/>
      <c r="E17" s="9"/>
      <c r="F17" s="225">
        <v>750</v>
      </c>
      <c r="G17" s="71"/>
      <c r="H17" s="230"/>
    </row>
    <row r="18" spans="2:12" ht="33" customHeight="1" x14ac:dyDescent="0.2">
      <c r="B18" s="3"/>
      <c r="C18" s="216"/>
      <c r="D18" s="217" t="s">
        <v>75</v>
      </c>
      <c r="E18" s="9"/>
      <c r="F18" s="226"/>
      <c r="G18" s="71"/>
      <c r="H18" s="231">
        <f>H16*F17/1000</f>
        <v>5.2941176470588243</v>
      </c>
      <c r="K18" s="104" t="s">
        <v>63</v>
      </c>
    </row>
    <row r="19" spans="2:12" x14ac:dyDescent="0.2">
      <c r="B19" s="3"/>
      <c r="C19" s="216"/>
      <c r="D19" s="216" t="s">
        <v>117</v>
      </c>
      <c r="E19" s="9"/>
      <c r="F19" s="227">
        <v>0.1</v>
      </c>
      <c r="G19" s="71"/>
      <c r="H19" s="232"/>
    </row>
    <row r="20" spans="2:12" x14ac:dyDescent="0.2">
      <c r="B20" s="3"/>
      <c r="C20" s="216"/>
      <c r="D20" s="218" t="s">
        <v>76</v>
      </c>
      <c r="E20" s="9"/>
      <c r="F20" s="226"/>
      <c r="G20" s="71"/>
      <c r="H20" s="233">
        <f>H18*(1-F19)</f>
        <v>4.764705882352942</v>
      </c>
    </row>
    <row r="21" spans="2:12" x14ac:dyDescent="0.2">
      <c r="B21" s="3"/>
      <c r="C21" s="212" t="s">
        <v>1</v>
      </c>
      <c r="D21" s="212"/>
      <c r="E21" s="9"/>
      <c r="F21" s="221">
        <v>250</v>
      </c>
      <c r="H21" s="234"/>
    </row>
    <row r="22" spans="2:12" x14ac:dyDescent="0.2">
      <c r="B22" s="3"/>
      <c r="C22" s="212"/>
      <c r="D22" s="215" t="s">
        <v>77</v>
      </c>
      <c r="E22" s="9"/>
      <c r="F22" s="219"/>
      <c r="H22" s="235">
        <f>H20/F21*1000</f>
        <v>19.058823529411768</v>
      </c>
    </row>
    <row r="23" spans="2:12" x14ac:dyDescent="0.2">
      <c r="B23" s="3"/>
      <c r="C23" s="212" t="s">
        <v>2</v>
      </c>
      <c r="D23" s="212"/>
      <c r="E23" s="9"/>
      <c r="F23" s="221">
        <v>24</v>
      </c>
      <c r="H23" s="234"/>
    </row>
    <row r="24" spans="2:12" x14ac:dyDescent="0.2">
      <c r="B24" s="3"/>
      <c r="C24" s="212"/>
      <c r="D24" s="215" t="s">
        <v>118</v>
      </c>
      <c r="E24" s="9"/>
      <c r="F24" s="219"/>
      <c r="H24" s="236">
        <f>H22/F23</f>
        <v>0.79411764705882371</v>
      </c>
    </row>
    <row r="25" spans="2:12" x14ac:dyDescent="0.2">
      <c r="C25" s="212"/>
      <c r="D25" s="212"/>
      <c r="E25" s="9"/>
      <c r="F25" s="219"/>
      <c r="H25" s="237"/>
    </row>
    <row r="26" spans="2:12" x14ac:dyDescent="0.2">
      <c r="C26" s="212" t="s">
        <v>3</v>
      </c>
      <c r="D26" s="212"/>
      <c r="E26" s="9"/>
      <c r="F26" s="228">
        <v>2.2000000000000002</v>
      </c>
      <c r="G26" s="11"/>
      <c r="H26" s="219"/>
    </row>
    <row r="27" spans="2:12" x14ac:dyDescent="0.2">
      <c r="C27" s="215" t="s">
        <v>4</v>
      </c>
      <c r="D27" s="219"/>
      <c r="E27" s="9"/>
      <c r="G27" s="9"/>
      <c r="H27" s="238">
        <f>H28/H20</f>
        <v>8.8000000000000007</v>
      </c>
    </row>
    <row r="28" spans="2:12" x14ac:dyDescent="0.2">
      <c r="C28" s="215" t="s">
        <v>5</v>
      </c>
      <c r="D28" s="219"/>
      <c r="E28" s="9"/>
      <c r="G28" s="9"/>
      <c r="H28" s="239">
        <f>F26*H22</f>
        <v>41.92941176470589</v>
      </c>
      <c r="I28" s="108"/>
    </row>
    <row r="29" spans="2:12" ht="7" customHeight="1" x14ac:dyDescent="0.2">
      <c r="B29" s="12"/>
      <c r="C29" s="13"/>
      <c r="D29" s="13"/>
      <c r="E29" s="14"/>
      <c r="F29" s="15"/>
      <c r="G29" s="16"/>
      <c r="H29" s="17"/>
      <c r="I29" s="18"/>
    </row>
    <row r="30" spans="2:12" s="160" customFormat="1" ht="21" customHeight="1" x14ac:dyDescent="0.2">
      <c r="B30" s="156" t="s">
        <v>79</v>
      </c>
      <c r="C30" s="157"/>
      <c r="D30" s="157"/>
      <c r="E30" s="157"/>
      <c r="F30" s="157"/>
      <c r="G30" s="157"/>
      <c r="H30" s="157"/>
      <c r="I30" s="197">
        <f>H28</f>
        <v>41.92941176470589</v>
      </c>
      <c r="J30" s="158"/>
      <c r="K30" s="159"/>
      <c r="L30" s="159"/>
    </row>
    <row r="31" spans="2:12" s="160" customFormat="1" ht="21" customHeight="1" x14ac:dyDescent="0.2">
      <c r="B31" s="270"/>
      <c r="C31" s="271"/>
      <c r="D31" s="271"/>
      <c r="E31" s="271"/>
      <c r="F31" s="271"/>
      <c r="G31" s="271"/>
      <c r="H31" s="271"/>
      <c r="I31" s="272"/>
      <c r="J31" s="158"/>
      <c r="K31" s="159"/>
      <c r="L31" s="159"/>
    </row>
    <row r="32" spans="2:12" x14ac:dyDescent="0.2">
      <c r="B32" s="33" t="s">
        <v>140</v>
      </c>
      <c r="C32" s="34"/>
      <c r="D32" s="34"/>
      <c r="E32" s="269" t="s">
        <v>137</v>
      </c>
      <c r="F32" s="34"/>
      <c r="G32" s="273"/>
      <c r="H32" s="269"/>
      <c r="I32" s="269" t="s">
        <v>86</v>
      </c>
    </row>
    <row r="33" spans="2:16" s="71" customFormat="1" ht="96" x14ac:dyDescent="0.2">
      <c r="B33" s="240" t="s">
        <v>111</v>
      </c>
      <c r="C33" s="66"/>
      <c r="D33" s="244" t="s">
        <v>133</v>
      </c>
      <c r="E33" s="245">
        <v>1</v>
      </c>
      <c r="F33" s="246"/>
      <c r="G33" s="247">
        <f>(10000/F9)*(F11*F13)/E33</f>
        <v>11764.705882352941</v>
      </c>
      <c r="H33" s="248">
        <v>5</v>
      </c>
      <c r="I33" s="249">
        <f>(H33*G33)/10000</f>
        <v>5.8823529411764701</v>
      </c>
      <c r="K33" s="104" t="s">
        <v>62</v>
      </c>
      <c r="L33" s="103"/>
    </row>
    <row r="34" spans="2:16" ht="13" customHeight="1" x14ac:dyDescent="0.2">
      <c r="B34" s="212"/>
      <c r="D34" s="212"/>
      <c r="E34" s="212"/>
      <c r="F34" s="212"/>
      <c r="G34" s="212" t="s">
        <v>138</v>
      </c>
      <c r="H34" s="212" t="s">
        <v>139</v>
      </c>
      <c r="I34" s="212"/>
      <c r="K34" s="292" t="s">
        <v>128</v>
      </c>
      <c r="L34" s="292"/>
      <c r="M34" s="95"/>
      <c r="P34" s="95"/>
    </row>
    <row r="35" spans="2:16" x14ac:dyDescent="0.2">
      <c r="B35" s="241" t="s">
        <v>6</v>
      </c>
      <c r="D35" s="212"/>
      <c r="E35" s="229">
        <f>H16</f>
        <v>7.0588235294117654</v>
      </c>
      <c r="F35" s="219" t="s">
        <v>80</v>
      </c>
      <c r="G35" s="250">
        <v>0.7</v>
      </c>
      <c r="H35" s="251">
        <f>E35*G35</f>
        <v>4.9411764705882355</v>
      </c>
      <c r="I35" s="252">
        <f>H35</f>
        <v>4.9411764705882355</v>
      </c>
      <c r="J35" s="110"/>
    </row>
    <row r="36" spans="2:16" ht="13.25" customHeight="1" x14ac:dyDescent="0.2">
      <c r="B36" s="242"/>
      <c r="D36" s="212"/>
      <c r="E36" s="212"/>
      <c r="F36" s="212"/>
      <c r="G36" s="212"/>
      <c r="H36" s="212"/>
      <c r="I36" s="234"/>
    </row>
    <row r="37" spans="2:16" ht="14.25" customHeight="1" x14ac:dyDescent="0.2">
      <c r="B37" s="243" t="s">
        <v>50</v>
      </c>
      <c r="C37" s="71"/>
      <c r="D37" s="216"/>
      <c r="E37" s="253">
        <f>H68</f>
        <v>6.0235294117647065E-7</v>
      </c>
      <c r="F37" s="216" t="s">
        <v>7</v>
      </c>
      <c r="G37" s="254">
        <v>1000</v>
      </c>
      <c r="H37" s="216"/>
      <c r="I37" s="255">
        <f>G37*E37</f>
        <v>6.0235294117647064E-4</v>
      </c>
      <c r="J37" s="139"/>
      <c r="K37" s="302" t="s">
        <v>129</v>
      </c>
      <c r="L37" s="302"/>
    </row>
    <row r="38" spans="2:16" ht="17" customHeight="1" x14ac:dyDescent="0.2">
      <c r="B38" s="3"/>
    </row>
    <row r="39" spans="2:16" x14ac:dyDescent="0.2">
      <c r="B39" s="117" t="s">
        <v>81</v>
      </c>
      <c r="C39" s="119"/>
      <c r="D39" s="119"/>
      <c r="E39" s="115" t="s">
        <v>49</v>
      </c>
      <c r="F39" s="116" t="s">
        <v>47</v>
      </c>
      <c r="G39" s="117" t="s">
        <v>46</v>
      </c>
      <c r="H39" s="117" t="s">
        <v>45</v>
      </c>
      <c r="I39" s="118" t="s">
        <v>85</v>
      </c>
      <c r="K39" s="292"/>
      <c r="L39" s="292"/>
    </row>
    <row r="40" spans="2:16" x14ac:dyDescent="0.2">
      <c r="B40" s="3"/>
      <c r="C40" s="242" t="s">
        <v>48</v>
      </c>
      <c r="D40" s="3"/>
      <c r="E40" s="170"/>
      <c r="F40" s="171"/>
      <c r="G40" s="172"/>
      <c r="H40" s="173"/>
      <c r="I40" s="181">
        <f>(E40*(G40/1000)*H40)/10000</f>
        <v>0</v>
      </c>
    </row>
    <row r="41" spans="2:16" x14ac:dyDescent="0.2">
      <c r="B41" s="3"/>
      <c r="C41" s="242"/>
      <c r="D41" s="3"/>
      <c r="E41" s="170"/>
      <c r="F41" s="171"/>
      <c r="G41" s="172"/>
      <c r="H41" s="173"/>
      <c r="I41" s="181">
        <f>(E41*(G41/1000)*H41)/10000</f>
        <v>0</v>
      </c>
    </row>
    <row r="42" spans="2:16" x14ac:dyDescent="0.2">
      <c r="B42" s="3"/>
      <c r="C42" s="242"/>
      <c r="D42" s="3"/>
      <c r="E42" s="170"/>
      <c r="F42" s="171"/>
      <c r="G42" s="172"/>
      <c r="H42" s="173"/>
      <c r="I42" s="181">
        <f>(E42*(G42/1000)*H42)/10000</f>
        <v>0</v>
      </c>
    </row>
    <row r="43" spans="2:16" x14ac:dyDescent="0.2">
      <c r="B43" s="3"/>
      <c r="C43" s="242" t="s">
        <v>8</v>
      </c>
      <c r="D43" s="3"/>
      <c r="E43" s="170"/>
      <c r="F43" s="171"/>
      <c r="G43" s="174"/>
      <c r="H43" s="175"/>
      <c r="I43" s="181">
        <f>(E43*G43*H43)/10000</f>
        <v>0</v>
      </c>
      <c r="K43" s="169"/>
    </row>
    <row r="44" spans="2:16" x14ac:dyDescent="0.2">
      <c r="B44" s="3"/>
      <c r="C44" s="242"/>
      <c r="D44" s="3"/>
      <c r="E44" s="170"/>
      <c r="F44" s="171"/>
      <c r="G44" s="176"/>
      <c r="H44" s="173"/>
      <c r="I44" s="181">
        <f>(E44*G44*H44)/10000</f>
        <v>0</v>
      </c>
    </row>
    <row r="45" spans="2:16" x14ac:dyDescent="0.2">
      <c r="C45" s="212"/>
      <c r="E45" s="170"/>
      <c r="F45" s="171"/>
      <c r="G45" s="176"/>
      <c r="H45" s="173"/>
      <c r="I45" s="181">
        <f t="shared" ref="I45:I47" si="0">(E45*G45*H45)/10000</f>
        <v>0</v>
      </c>
    </row>
    <row r="46" spans="2:16" x14ac:dyDescent="0.2">
      <c r="B46" s="3"/>
      <c r="C46" s="242"/>
      <c r="D46" s="3"/>
      <c r="E46" s="170"/>
      <c r="F46" s="171"/>
      <c r="G46" s="176"/>
      <c r="H46" s="173"/>
      <c r="I46" s="181">
        <f t="shared" si="0"/>
        <v>0</v>
      </c>
    </row>
    <row r="47" spans="2:16" x14ac:dyDescent="0.2">
      <c r="B47" s="3"/>
      <c r="C47" s="242" t="s">
        <v>82</v>
      </c>
      <c r="D47" s="3"/>
      <c r="E47" s="170"/>
      <c r="F47" s="171"/>
      <c r="G47" s="176"/>
      <c r="H47" s="173"/>
      <c r="I47" s="181">
        <f t="shared" si="0"/>
        <v>0</v>
      </c>
    </row>
    <row r="48" spans="2:16" x14ac:dyDescent="0.2">
      <c r="B48" s="3"/>
      <c r="C48" s="242"/>
      <c r="D48" s="3"/>
      <c r="E48" s="170"/>
      <c r="F48" s="171"/>
      <c r="G48" s="176"/>
      <c r="H48" s="177"/>
      <c r="I48" s="181">
        <f>(E48*G48*H48)/10000</f>
        <v>0</v>
      </c>
    </row>
    <row r="49" spans="2:11" x14ac:dyDescent="0.2">
      <c r="B49" s="3"/>
      <c r="C49" s="242"/>
      <c r="D49" s="3"/>
      <c r="E49" s="161"/>
      <c r="F49" s="162"/>
      <c r="G49" s="163"/>
      <c r="H49" s="164"/>
      <c r="I49" s="10"/>
    </row>
    <row r="50" spans="2:11" ht="14" customHeight="1" x14ac:dyDescent="0.2">
      <c r="B50" s="3"/>
      <c r="C50" s="242"/>
      <c r="D50" s="3"/>
      <c r="E50" s="117" t="str">
        <f>E39</f>
        <v>No of applications</v>
      </c>
      <c r="F50" s="115" t="s">
        <v>83</v>
      </c>
      <c r="G50" s="117" t="s">
        <v>124</v>
      </c>
      <c r="H50" s="117" t="s">
        <v>126</v>
      </c>
      <c r="I50" s="10"/>
    </row>
    <row r="51" spans="2:11" x14ac:dyDescent="0.2">
      <c r="B51" s="212" t="s">
        <v>9</v>
      </c>
      <c r="C51" s="242"/>
      <c r="D51" s="3"/>
      <c r="E51" s="170">
        <v>4</v>
      </c>
      <c r="F51" s="178"/>
      <c r="G51" s="179">
        <v>5</v>
      </c>
      <c r="H51" s="180">
        <v>160</v>
      </c>
      <c r="I51" s="182">
        <f>(E51*G51*H51)/10000</f>
        <v>0.32</v>
      </c>
    </row>
    <row r="52" spans="2:11" x14ac:dyDescent="0.2">
      <c r="B52" s="3"/>
      <c r="C52" s="242"/>
      <c r="D52" s="3"/>
      <c r="E52" s="170"/>
      <c r="F52" s="178"/>
      <c r="G52" s="179"/>
      <c r="H52" s="180"/>
      <c r="I52" s="182">
        <f>(E52*G52*H52)/10000</f>
        <v>0</v>
      </c>
    </row>
    <row r="53" spans="2:11" x14ac:dyDescent="0.2">
      <c r="B53" s="3"/>
      <c r="C53" s="242"/>
      <c r="D53" s="3"/>
      <c r="E53" s="170"/>
      <c r="F53" s="178"/>
      <c r="G53" s="179"/>
      <c r="H53" s="180"/>
      <c r="I53" s="182">
        <f>(E53*G53*H53)/10000</f>
        <v>0</v>
      </c>
    </row>
    <row r="54" spans="2:11" x14ac:dyDescent="0.2">
      <c r="B54" s="3"/>
      <c r="C54" s="242"/>
      <c r="D54" s="3"/>
      <c r="E54" s="170"/>
      <c r="F54" s="178"/>
      <c r="G54" s="179"/>
      <c r="H54" s="180"/>
      <c r="I54" s="182">
        <f>(E54*G54*H54)/10000</f>
        <v>0</v>
      </c>
    </row>
    <row r="55" spans="2:11" x14ac:dyDescent="0.2">
      <c r="B55" s="3"/>
      <c r="C55" s="242"/>
      <c r="D55" s="3"/>
      <c r="E55" s="170"/>
      <c r="F55" s="178"/>
      <c r="G55" s="179"/>
      <c r="H55" s="180"/>
      <c r="I55" s="182">
        <f>(E55*G55*H55)/10000</f>
        <v>0</v>
      </c>
    </row>
    <row r="56" spans="2:11" x14ac:dyDescent="0.2">
      <c r="B56" s="3"/>
      <c r="C56" s="242"/>
      <c r="D56" s="3"/>
      <c r="E56" s="161"/>
      <c r="G56" s="274"/>
      <c r="H56" s="275"/>
      <c r="I56" s="276"/>
    </row>
    <row r="57" spans="2:11" x14ac:dyDescent="0.2">
      <c r="B57" s="212" t="s">
        <v>119</v>
      </c>
      <c r="C57" s="242"/>
      <c r="D57" s="3"/>
      <c r="E57" s="165" t="s">
        <v>122</v>
      </c>
      <c r="F57" s="115" t="s">
        <v>123</v>
      </c>
      <c r="G57" s="166" t="s">
        <v>125</v>
      </c>
      <c r="H57" s="117" t="s">
        <v>126</v>
      </c>
      <c r="I57" s="167"/>
    </row>
    <row r="58" spans="2:11" x14ac:dyDescent="0.2">
      <c r="C58" s="212" t="s">
        <v>120</v>
      </c>
      <c r="D58" s="3"/>
      <c r="E58" s="170"/>
      <c r="F58" s="178"/>
      <c r="G58" s="179"/>
      <c r="H58" s="180"/>
      <c r="I58" s="182">
        <f>(E58*G58*H58)/10000</f>
        <v>0</v>
      </c>
    </row>
    <row r="59" spans="2:11" x14ac:dyDescent="0.2">
      <c r="B59" s="3"/>
      <c r="C59" s="212" t="s">
        <v>121</v>
      </c>
      <c r="D59" s="3"/>
      <c r="E59" s="170"/>
      <c r="F59" s="178"/>
      <c r="G59" s="179"/>
      <c r="H59" s="180"/>
      <c r="I59" s="182">
        <f>(E59*G59*H59)/10000</f>
        <v>0</v>
      </c>
    </row>
    <row r="60" spans="2:11" x14ac:dyDescent="0.2">
      <c r="C60" s="212" t="s">
        <v>134</v>
      </c>
      <c r="E60" s="178"/>
      <c r="F60" s="178"/>
      <c r="G60" s="178"/>
      <c r="H60" s="178"/>
      <c r="I60" s="182">
        <f>(E60*G60*H60)/10000</f>
        <v>0</v>
      </c>
    </row>
    <row r="61" spans="2:11" x14ac:dyDescent="0.2">
      <c r="C61" s="212" t="s">
        <v>141</v>
      </c>
      <c r="E61" s="178"/>
      <c r="F61" s="178"/>
      <c r="G61" s="178"/>
      <c r="H61" s="178"/>
      <c r="I61" s="182">
        <f>(E61*G61*H61)/10000</f>
        <v>0</v>
      </c>
    </row>
    <row r="62" spans="2:11" x14ac:dyDescent="0.2">
      <c r="C62" s="212"/>
      <c r="E62" s="178"/>
      <c r="F62" s="178"/>
      <c r="G62" s="178"/>
      <c r="H62" s="178"/>
      <c r="I62" s="182">
        <f>(E62*G62*H62)/10000</f>
        <v>0</v>
      </c>
    </row>
    <row r="63" spans="2:11" ht="8" customHeight="1" x14ac:dyDescent="0.2">
      <c r="B63" s="3"/>
      <c r="C63" s="3"/>
      <c r="D63" s="3"/>
      <c r="I63" s="10"/>
    </row>
    <row r="64" spans="2:11" ht="16" x14ac:dyDescent="0.2">
      <c r="B64" s="256" t="s">
        <v>10</v>
      </c>
      <c r="C64" s="199"/>
      <c r="D64" s="199"/>
      <c r="E64" s="199"/>
      <c r="F64" s="199"/>
      <c r="G64" s="199"/>
      <c r="H64" s="199"/>
      <c r="I64" s="200"/>
      <c r="K64" s="104" t="s">
        <v>127</v>
      </c>
    </row>
    <row r="65" spans="2:11" x14ac:dyDescent="0.2">
      <c r="B65" s="71"/>
      <c r="C65" s="71"/>
      <c r="D65" s="71"/>
      <c r="E65" s="183">
        <v>4</v>
      </c>
      <c r="F65" s="184" t="s">
        <v>131</v>
      </c>
      <c r="G65" s="185">
        <v>2</v>
      </c>
      <c r="H65" s="112">
        <f>(E65*G33)/10000</f>
        <v>4.7058823529411766</v>
      </c>
      <c r="I65" s="68"/>
      <c r="J65" s="264"/>
    </row>
    <row r="66" spans="2:11" x14ac:dyDescent="0.2">
      <c r="B66" s="71"/>
      <c r="C66" s="71"/>
      <c r="D66" s="71"/>
      <c r="E66" s="183">
        <v>8</v>
      </c>
      <c r="F66" s="184" t="s">
        <v>11</v>
      </c>
      <c r="G66" s="186">
        <f>8*30</f>
        <v>240</v>
      </c>
      <c r="H66" s="262"/>
      <c r="I66" s="263"/>
      <c r="J66" s="264"/>
    </row>
    <row r="67" spans="2:11" x14ac:dyDescent="0.2">
      <c r="B67" s="71"/>
      <c r="C67" s="71"/>
      <c r="D67" s="71"/>
      <c r="E67" s="187">
        <v>2</v>
      </c>
      <c r="F67" s="184" t="s">
        <v>12</v>
      </c>
      <c r="G67" s="188"/>
      <c r="H67" s="71"/>
      <c r="I67" s="68"/>
      <c r="J67" s="264"/>
    </row>
    <row r="68" spans="2:11" x14ac:dyDescent="0.2">
      <c r="B68" s="71"/>
      <c r="C68" s="71"/>
      <c r="D68" s="216" t="s">
        <v>51</v>
      </c>
      <c r="E68" s="257"/>
      <c r="F68" s="184" t="s">
        <v>13</v>
      </c>
      <c r="G68" s="189">
        <v>300</v>
      </c>
      <c r="H68" s="260">
        <f>((((H65*E66*G66*E67)/60)*G65)/100000)/10000</f>
        <v>6.0235294117647065E-7</v>
      </c>
      <c r="I68" s="259">
        <f>G70*G68</f>
        <v>1.807058823529412E-4</v>
      </c>
    </row>
    <row r="69" spans="2:11" x14ac:dyDescent="0.2">
      <c r="B69" s="71"/>
      <c r="C69" s="71"/>
      <c r="D69" s="71"/>
      <c r="E69" s="90"/>
      <c r="F69" s="71"/>
      <c r="G69" s="71"/>
      <c r="H69" s="261"/>
      <c r="I69" s="261"/>
    </row>
    <row r="70" spans="2:11" x14ac:dyDescent="0.2">
      <c r="C70" s="71"/>
      <c r="D70" s="258" t="s">
        <v>14</v>
      </c>
      <c r="E70" s="265">
        <v>150</v>
      </c>
      <c r="F70" s="266"/>
      <c r="G70" s="267">
        <f>E37</f>
        <v>6.0235294117647065E-7</v>
      </c>
      <c r="H70" s="266"/>
      <c r="I70" s="268">
        <f>G70*E70</f>
        <v>9.0352941176470599E-5</v>
      </c>
      <c r="J70" s="140"/>
    </row>
    <row r="71" spans="2:11" x14ac:dyDescent="0.2">
      <c r="B71" s="13"/>
      <c r="C71" s="12"/>
      <c r="D71" s="12"/>
      <c r="E71" s="20"/>
      <c r="F71" s="12"/>
      <c r="G71" s="12"/>
      <c r="H71" s="12"/>
      <c r="I71" s="18"/>
      <c r="J71" s="139"/>
    </row>
    <row r="72" spans="2:11" x14ac:dyDescent="0.2">
      <c r="B72" s="21"/>
      <c r="C72" s="22"/>
      <c r="D72" s="22"/>
      <c r="E72" s="23"/>
      <c r="F72" s="22"/>
      <c r="G72" s="22"/>
      <c r="H72" s="22"/>
      <c r="I72" s="24"/>
    </row>
    <row r="73" spans="2:11" x14ac:dyDescent="0.2">
      <c r="B73" s="3"/>
      <c r="E73" s="19"/>
      <c r="I73" s="10"/>
    </row>
    <row r="74" spans="2:11" ht="20" thickBot="1" x14ac:dyDescent="0.3">
      <c r="B74" s="299" t="s">
        <v>15</v>
      </c>
      <c r="C74" s="299"/>
      <c r="D74" s="299"/>
      <c r="E74" s="299"/>
      <c r="F74" s="299"/>
      <c r="G74" s="299"/>
      <c r="H74" s="299"/>
      <c r="I74" s="299"/>
    </row>
    <row r="75" spans="2:11" x14ac:dyDescent="0.2">
      <c r="B75" s="117" t="s">
        <v>87</v>
      </c>
      <c r="C75" s="119"/>
      <c r="D75" s="119"/>
      <c r="E75" s="120"/>
      <c r="F75" s="119"/>
      <c r="G75" s="119"/>
      <c r="H75" s="125"/>
      <c r="I75" s="126" t="s">
        <v>88</v>
      </c>
    </row>
    <row r="76" spans="2:11" ht="16" x14ac:dyDescent="0.2">
      <c r="B76" s="3" t="s">
        <v>16</v>
      </c>
      <c r="E76" s="19"/>
      <c r="I76" s="10"/>
      <c r="K76" s="104" t="s">
        <v>132</v>
      </c>
    </row>
    <row r="77" spans="2:11" x14ac:dyDescent="0.2">
      <c r="B77" s="3"/>
      <c r="C77" s="1" t="s">
        <v>52</v>
      </c>
      <c r="E77" s="19"/>
      <c r="G77" s="25">
        <f>H22</f>
        <v>19.058823529411768</v>
      </c>
      <c r="H77" s="73">
        <v>7.0000000000000007E-2</v>
      </c>
      <c r="I77" s="111">
        <f t="shared" ref="I77:I81" si="1">G77*H77</f>
        <v>1.3341176470588239</v>
      </c>
    </row>
    <row r="78" spans="2:11" x14ac:dyDescent="0.2">
      <c r="B78" s="3"/>
      <c r="C78" s="1" t="s">
        <v>17</v>
      </c>
      <c r="E78" s="19"/>
      <c r="G78" s="26">
        <f>H22</f>
        <v>19.058823529411768</v>
      </c>
      <c r="H78" s="73">
        <v>0.1</v>
      </c>
      <c r="I78" s="111">
        <f t="shared" si="1"/>
        <v>1.9058823529411768</v>
      </c>
    </row>
    <row r="79" spans="2:11" x14ac:dyDescent="0.2">
      <c r="B79" s="3"/>
      <c r="C79" s="1" t="s">
        <v>18</v>
      </c>
      <c r="E79" s="19"/>
      <c r="G79" s="27">
        <f>H24</f>
        <v>0.79411764705882371</v>
      </c>
      <c r="H79" s="73">
        <v>1.2</v>
      </c>
      <c r="I79" s="111">
        <f>H79*G79</f>
        <v>0.9529411764705884</v>
      </c>
    </row>
    <row r="80" spans="2:11" x14ac:dyDescent="0.2">
      <c r="B80" s="3"/>
      <c r="C80" s="1" t="s">
        <v>19</v>
      </c>
      <c r="E80" s="19"/>
      <c r="G80" s="25">
        <f>H22</f>
        <v>19.058823529411768</v>
      </c>
      <c r="H80" s="74">
        <v>0.02</v>
      </c>
      <c r="I80" s="111">
        <f t="shared" si="1"/>
        <v>0.38117647058823539</v>
      </c>
    </row>
    <row r="81" spans="2:11" x14ac:dyDescent="0.2">
      <c r="B81" s="3"/>
      <c r="C81" s="1" t="s">
        <v>20</v>
      </c>
      <c r="E81" s="28">
        <f>H24</f>
        <v>0.79411764705882371</v>
      </c>
      <c r="F81" s="77">
        <v>64</v>
      </c>
      <c r="G81" s="129">
        <f>E81/F81</f>
        <v>1.240808823529412E-2</v>
      </c>
      <c r="H81" s="75">
        <v>180</v>
      </c>
      <c r="I81" s="111">
        <f t="shared" si="1"/>
        <v>2.2334558823529416</v>
      </c>
    </row>
    <row r="82" spans="2:11" x14ac:dyDescent="0.2">
      <c r="B82" s="3"/>
      <c r="C82" s="1" t="s">
        <v>21</v>
      </c>
      <c r="E82" s="72">
        <v>100</v>
      </c>
      <c r="F82" s="1" t="s">
        <v>89</v>
      </c>
      <c r="G82" s="127">
        <v>1E-3</v>
      </c>
      <c r="H82" s="76">
        <v>45</v>
      </c>
      <c r="I82" s="111">
        <f>G82*H82*E82</f>
        <v>4.5</v>
      </c>
    </row>
    <row r="83" spans="2:11" ht="16" x14ac:dyDescent="0.2">
      <c r="B83" s="3"/>
      <c r="C83" s="1" t="s">
        <v>22</v>
      </c>
      <c r="G83" s="129">
        <f>G81</f>
        <v>1.240808823529412E-2</v>
      </c>
      <c r="H83" s="75">
        <v>75</v>
      </c>
      <c r="I83" s="111">
        <f>G83*H83</f>
        <v>0.93060661764705899</v>
      </c>
      <c r="J83" s="194">
        <f>SUM(I77:I83)</f>
        <v>12.238180147058825</v>
      </c>
      <c r="K83" s="103" t="s">
        <v>112</v>
      </c>
    </row>
    <row r="84" spans="2:11" ht="12" customHeight="1" x14ac:dyDescent="0.2">
      <c r="B84" s="3"/>
      <c r="E84" s="19"/>
      <c r="I84" s="10"/>
    </row>
    <row r="85" spans="2:11" x14ac:dyDescent="0.2">
      <c r="B85" s="3" t="s">
        <v>23</v>
      </c>
      <c r="E85" s="19"/>
      <c r="I85" s="10"/>
    </row>
    <row r="86" spans="2:11" x14ac:dyDescent="0.2">
      <c r="B86" s="3"/>
      <c r="C86" s="1" t="s">
        <v>53</v>
      </c>
      <c r="E86" s="29">
        <v>3</v>
      </c>
      <c r="H86" s="78">
        <v>10000</v>
      </c>
      <c r="I86" s="111">
        <f>(H86/E86)/10000</f>
        <v>0.33333333333333337</v>
      </c>
    </row>
    <row r="87" spans="2:11" x14ac:dyDescent="0.2">
      <c r="B87" s="3"/>
      <c r="C87" s="1" t="s">
        <v>54</v>
      </c>
      <c r="E87" s="29">
        <v>1</v>
      </c>
      <c r="F87" s="1" t="s">
        <v>90</v>
      </c>
      <c r="G87" s="130">
        <f>G33</f>
        <v>11764.705882352941</v>
      </c>
      <c r="H87" s="79">
        <v>0.25</v>
      </c>
      <c r="I87" s="111">
        <f>(H87*G87/E87)/10000</f>
        <v>0.29411764705882354</v>
      </c>
    </row>
    <row r="88" spans="2:11" ht="5.25" customHeight="1" x14ac:dyDescent="0.2">
      <c r="B88" s="3"/>
      <c r="E88" s="19"/>
      <c r="H88" s="10"/>
      <c r="I88" s="10"/>
    </row>
    <row r="89" spans="2:11" x14ac:dyDescent="0.2">
      <c r="B89" s="3" t="s">
        <v>55</v>
      </c>
      <c r="E89" s="19"/>
      <c r="I89" s="10"/>
    </row>
    <row r="90" spans="2:11" x14ac:dyDescent="0.2">
      <c r="B90" s="3"/>
      <c r="C90" s="1" t="s">
        <v>24</v>
      </c>
      <c r="E90" s="72">
        <v>6</v>
      </c>
      <c r="G90" s="80">
        <v>1</v>
      </c>
      <c r="H90" s="81">
        <v>25</v>
      </c>
      <c r="I90" s="111">
        <f>(E90*G90*H90)/10000</f>
        <v>1.4999999999999999E-2</v>
      </c>
    </row>
    <row r="91" spans="2:11" ht="16" x14ac:dyDescent="0.2">
      <c r="B91" s="3"/>
      <c r="C91" s="1" t="s">
        <v>25</v>
      </c>
      <c r="E91" s="128">
        <f>SUM(E40:E48)</f>
        <v>0</v>
      </c>
      <c r="G91" s="80">
        <v>2</v>
      </c>
      <c r="H91" s="81">
        <v>25</v>
      </c>
      <c r="I91" s="111">
        <f>(E91*G91*H91)/10000</f>
        <v>0</v>
      </c>
      <c r="K91" s="103" t="s">
        <v>91</v>
      </c>
    </row>
    <row r="92" spans="2:11" x14ac:dyDescent="0.2">
      <c r="B92" s="3"/>
      <c r="C92" s="1" t="s">
        <v>10</v>
      </c>
      <c r="E92" s="131">
        <f>G70</f>
        <v>6.0235294117647065E-7</v>
      </c>
      <c r="F92" s="1" t="s">
        <v>92</v>
      </c>
      <c r="G92" s="82">
        <v>4</v>
      </c>
      <c r="H92" s="81">
        <v>25</v>
      </c>
      <c r="I92" s="190">
        <f>E92*G92*H92</f>
        <v>6.0235294117647062E-5</v>
      </c>
    </row>
    <row r="93" spans="2:11" x14ac:dyDescent="0.2">
      <c r="B93" s="3"/>
      <c r="C93" s="1" t="s">
        <v>26</v>
      </c>
      <c r="E93" s="19">
        <f>E82</f>
        <v>100</v>
      </c>
      <c r="G93" s="80">
        <v>0.5</v>
      </c>
      <c r="H93" s="81">
        <v>25</v>
      </c>
      <c r="I93" s="111">
        <f>(E93*G93*H93)/10000</f>
        <v>0.125</v>
      </c>
    </row>
    <row r="94" spans="2:11" ht="5.25" customHeight="1" x14ac:dyDescent="0.2">
      <c r="B94" s="3"/>
      <c r="E94" s="19"/>
    </row>
    <row r="95" spans="2:11" x14ac:dyDescent="0.2">
      <c r="B95" s="3" t="s">
        <v>135</v>
      </c>
      <c r="E95" s="19" t="s">
        <v>96</v>
      </c>
      <c r="I95" s="10"/>
    </row>
    <row r="96" spans="2:11" ht="16" x14ac:dyDescent="0.2">
      <c r="B96" s="3"/>
      <c r="C96" s="71" t="s">
        <v>56</v>
      </c>
      <c r="D96" s="71"/>
      <c r="E96" s="91">
        <v>1</v>
      </c>
      <c r="F96" s="71"/>
      <c r="G96" s="106">
        <f>H16</f>
        <v>7.0588235294117654</v>
      </c>
      <c r="H96" s="92">
        <v>0.05</v>
      </c>
      <c r="I96" s="191">
        <f>E96*H96*G96</f>
        <v>0.35294117647058831</v>
      </c>
      <c r="K96" s="104" t="s">
        <v>65</v>
      </c>
    </row>
    <row r="97" spans="2:12" x14ac:dyDescent="0.2">
      <c r="B97" s="3"/>
      <c r="C97" s="71" t="s">
        <v>93</v>
      </c>
      <c r="D97" s="71"/>
      <c r="E97" s="91">
        <v>2</v>
      </c>
      <c r="F97" s="71"/>
      <c r="G97" s="106">
        <f>E65</f>
        <v>4</v>
      </c>
      <c r="H97" s="92">
        <v>0.02</v>
      </c>
      <c r="I97" s="191">
        <f>H97*G97*E97</f>
        <v>0.16</v>
      </c>
      <c r="K97" s="104"/>
    </row>
    <row r="98" spans="2:12" x14ac:dyDescent="0.2">
      <c r="B98" s="3"/>
      <c r="C98" s="1" t="s">
        <v>27</v>
      </c>
      <c r="E98" s="72">
        <v>3</v>
      </c>
      <c r="G98" s="84">
        <v>20</v>
      </c>
      <c r="H98" s="81">
        <v>28</v>
      </c>
      <c r="I98" s="111">
        <f>(E98*G98*H98)/10000</f>
        <v>0.16800000000000001</v>
      </c>
    </row>
    <row r="99" spans="2:12" x14ac:dyDescent="0.2">
      <c r="B99" s="3"/>
      <c r="C99" s="1" t="s">
        <v>136</v>
      </c>
      <c r="E99" s="72">
        <v>2</v>
      </c>
      <c r="G99" s="84"/>
      <c r="H99" s="81"/>
      <c r="I99" s="111"/>
    </row>
    <row r="100" spans="2:12" s="48" customFormat="1" ht="57" customHeight="1" x14ac:dyDescent="0.2">
      <c r="B100" s="47"/>
      <c r="C100" s="141" t="s">
        <v>106</v>
      </c>
      <c r="D100" s="66"/>
      <c r="E100" s="142">
        <v>1</v>
      </c>
      <c r="F100" s="66"/>
      <c r="G100" s="143">
        <v>100</v>
      </c>
      <c r="H100" s="144">
        <v>28</v>
      </c>
      <c r="I100" s="109">
        <f>(E100*G100*H100)/10000</f>
        <v>0.28000000000000003</v>
      </c>
      <c r="K100" s="141" t="str">
        <f>K96</f>
        <v>This may change with substrate type</v>
      </c>
      <c r="L100" s="145" t="s">
        <v>67</v>
      </c>
    </row>
    <row r="101" spans="2:12" ht="16" x14ac:dyDescent="0.2">
      <c r="B101" s="3"/>
      <c r="C101" s="1" t="s">
        <v>25</v>
      </c>
      <c r="E101" s="128">
        <f>E91</f>
        <v>0</v>
      </c>
      <c r="G101" s="80">
        <v>2</v>
      </c>
      <c r="H101" s="81">
        <v>28</v>
      </c>
      <c r="I101" s="111">
        <f>(E101*G101*H101)/10000</f>
        <v>0</v>
      </c>
      <c r="K101" s="103" t="str">
        <f>K91</f>
        <v>links to spray application details above</v>
      </c>
    </row>
    <row r="102" spans="2:12" x14ac:dyDescent="0.2">
      <c r="B102" s="3"/>
      <c r="C102" s="1" t="s">
        <v>26</v>
      </c>
      <c r="F102" s="133" t="s">
        <v>94</v>
      </c>
      <c r="G102" s="107">
        <f>H20</f>
        <v>4.764705882352942</v>
      </c>
      <c r="H102" s="86">
        <v>1.2</v>
      </c>
      <c r="I102" s="111">
        <f>H102*G102</f>
        <v>5.7176470588235304</v>
      </c>
    </row>
    <row r="103" spans="2:12" x14ac:dyDescent="0.2">
      <c r="B103" s="3"/>
      <c r="C103" s="1" t="s">
        <v>95</v>
      </c>
      <c r="E103" s="72">
        <v>1</v>
      </c>
      <c r="G103" s="85">
        <v>150</v>
      </c>
      <c r="H103" s="81">
        <v>28</v>
      </c>
      <c r="I103" s="111">
        <f>G102/G103*H103*E103</f>
        <v>0.88941176470588246</v>
      </c>
    </row>
    <row r="104" spans="2:12" x14ac:dyDescent="0.2">
      <c r="B104" s="3"/>
      <c r="C104" s="1" t="s">
        <v>57</v>
      </c>
      <c r="E104" s="134"/>
      <c r="F104" s="135">
        <f>G70</f>
        <v>6.0235294117647065E-7</v>
      </c>
      <c r="G104" s="136">
        <v>20</v>
      </c>
      <c r="H104" s="81">
        <v>28</v>
      </c>
      <c r="I104" s="190">
        <f>G$70*G104*H104</f>
        <v>3.3731764705882358E-4</v>
      </c>
    </row>
    <row r="105" spans="2:12" ht="16" x14ac:dyDescent="0.2">
      <c r="B105" s="3"/>
      <c r="C105" s="1" t="s">
        <v>59</v>
      </c>
      <c r="E105" s="72">
        <v>5</v>
      </c>
      <c r="G105" s="137">
        <v>50</v>
      </c>
      <c r="H105" s="81">
        <v>28</v>
      </c>
      <c r="I105" s="111">
        <f>(E105*G105*H105)/10000</f>
        <v>0.7</v>
      </c>
      <c r="J105" s="194">
        <f>SUM(I96:I105)</f>
        <v>8.2683373176470596</v>
      </c>
      <c r="K105" s="103" t="s">
        <v>97</v>
      </c>
    </row>
    <row r="106" spans="2:12" ht="4.5" customHeight="1" x14ac:dyDescent="0.2">
      <c r="B106" s="3"/>
      <c r="E106" s="19"/>
      <c r="G106" s="30"/>
      <c r="H106" s="31"/>
      <c r="I106" s="10"/>
    </row>
    <row r="107" spans="2:12" x14ac:dyDescent="0.2">
      <c r="B107" s="3" t="s">
        <v>28</v>
      </c>
      <c r="G107" s="30"/>
      <c r="H107" s="31"/>
      <c r="I107" s="10"/>
    </row>
    <row r="108" spans="2:12" x14ac:dyDescent="0.2">
      <c r="B108" s="13"/>
      <c r="C108" s="12" t="s">
        <v>29</v>
      </c>
      <c r="D108" s="32"/>
      <c r="E108" s="83">
        <v>0.06</v>
      </c>
      <c r="F108" s="12" t="s">
        <v>58</v>
      </c>
      <c r="G108" s="193">
        <f>I30</f>
        <v>41.92941176470589</v>
      </c>
      <c r="H108" s="12"/>
      <c r="I108" s="192">
        <f>(G108*E108)/10000</f>
        <v>2.5157647058823531E-4</v>
      </c>
      <c r="J108" s="10"/>
    </row>
    <row r="109" spans="2:12" ht="19.5" customHeight="1" x14ac:dyDescent="0.2">
      <c r="B109" s="33" t="s">
        <v>98</v>
      </c>
      <c r="C109" s="34"/>
      <c r="D109" s="34"/>
      <c r="E109" s="34"/>
      <c r="F109" s="34"/>
      <c r="G109" s="34"/>
      <c r="H109" s="34"/>
      <c r="I109" s="195">
        <f>(SUM(I33:I108))</f>
        <v>32.418683080392157</v>
      </c>
      <c r="J109" s="139"/>
    </row>
    <row r="110" spans="2:12" ht="21.75" customHeight="1" thickBot="1" x14ac:dyDescent="0.25">
      <c r="B110" s="35" t="s">
        <v>99</v>
      </c>
      <c r="C110" s="36"/>
      <c r="D110" s="36"/>
      <c r="E110" s="36"/>
      <c r="F110" s="36"/>
      <c r="G110" s="36"/>
      <c r="H110" s="36"/>
      <c r="I110" s="196">
        <f>I30-I109</f>
        <v>9.5107286843137331</v>
      </c>
      <c r="J110" s="139"/>
      <c r="K110" s="138"/>
    </row>
    <row r="111" spans="2:12" ht="18.75" customHeight="1" x14ac:dyDescent="0.2">
      <c r="B111" s="3"/>
      <c r="H111" s="37"/>
      <c r="I111" s="38"/>
    </row>
    <row r="112" spans="2:12" ht="32" customHeight="1" x14ac:dyDescent="0.2">
      <c r="B112" s="3"/>
      <c r="C112" s="149" t="s">
        <v>100</v>
      </c>
      <c r="D112" s="150"/>
      <c r="E112" s="150"/>
      <c r="F112" s="150"/>
      <c r="G112" s="304" t="s">
        <v>101</v>
      </c>
      <c r="H112" s="304"/>
      <c r="I112" s="93"/>
    </row>
    <row r="113" spans="2:11" ht="18.75" customHeight="1" x14ac:dyDescent="0.2">
      <c r="B113" s="3"/>
      <c r="C113" s="151"/>
      <c r="D113" s="152"/>
      <c r="E113" s="152"/>
      <c r="F113" s="152"/>
      <c r="G113" s="152"/>
      <c r="H113" s="153"/>
      <c r="I113" s="97"/>
    </row>
    <row r="114" spans="2:11" ht="18.75" customHeight="1" x14ac:dyDescent="0.2">
      <c r="B114" s="3"/>
      <c r="C114" s="151" t="s">
        <v>102</v>
      </c>
      <c r="D114" s="303" t="s">
        <v>103</v>
      </c>
      <c r="E114" s="303"/>
      <c r="F114" s="303"/>
      <c r="G114" s="303"/>
      <c r="H114" s="153"/>
      <c r="I114" s="97"/>
    </row>
    <row r="115" spans="2:11" ht="18.75" customHeight="1" x14ac:dyDescent="0.2">
      <c r="B115" s="3"/>
      <c r="C115" s="151" t="s">
        <v>104</v>
      </c>
      <c r="D115" s="152"/>
      <c r="E115" s="152" t="s">
        <v>105</v>
      </c>
      <c r="F115" s="152"/>
      <c r="G115" s="152"/>
      <c r="H115" s="153"/>
      <c r="I115" s="97"/>
    </row>
    <row r="116" spans="2:11" ht="18.75" customHeight="1" x14ac:dyDescent="0.2">
      <c r="B116" s="3"/>
      <c r="H116" s="96"/>
      <c r="I116" s="97"/>
    </row>
    <row r="117" spans="2:11" ht="18.75" customHeight="1" x14ac:dyDescent="0.2">
      <c r="B117" s="3"/>
      <c r="C117" s="94"/>
      <c r="D117" s="95"/>
      <c r="E117" s="95"/>
      <c r="F117" s="95"/>
      <c r="G117" s="95"/>
      <c r="H117" s="96"/>
      <c r="I117" s="97"/>
      <c r="K117" s="104"/>
    </row>
    <row r="118" spans="2:11" ht="18.75" customHeight="1" x14ac:dyDescent="0.2">
      <c r="B118" s="3"/>
      <c r="C118" s="94"/>
      <c r="D118" s="95"/>
      <c r="E118" s="95"/>
      <c r="F118" s="95"/>
      <c r="G118" s="95"/>
      <c r="H118" s="96"/>
      <c r="I118" s="97"/>
      <c r="K118" s="104"/>
    </row>
    <row r="119" spans="2:11" x14ac:dyDescent="0.2">
      <c r="C119" s="95"/>
      <c r="D119" s="95"/>
      <c r="E119" s="95"/>
      <c r="F119" s="95"/>
      <c r="G119" s="95"/>
      <c r="H119" s="95"/>
      <c r="I119" s="95"/>
    </row>
    <row r="120" spans="2:11" x14ac:dyDescent="0.2">
      <c r="B120" s="3"/>
    </row>
    <row r="121" spans="2:11" ht="19" x14ac:dyDescent="0.25">
      <c r="B121" s="3"/>
      <c r="C121" s="298" t="s">
        <v>32</v>
      </c>
      <c r="D121" s="298"/>
      <c r="E121" s="298"/>
      <c r="F121" s="298"/>
    </row>
    <row r="122" spans="2:11" ht="16" thickBot="1" x14ac:dyDescent="0.25">
      <c r="B122" s="3"/>
      <c r="H122" s="301" t="s">
        <v>33</v>
      </c>
      <c r="I122" s="301"/>
    </row>
    <row r="123" spans="2:11" x14ac:dyDescent="0.2">
      <c r="B123" s="3"/>
      <c r="C123" s="6" t="s">
        <v>0</v>
      </c>
      <c r="D123" s="6"/>
      <c r="E123" s="7"/>
      <c r="F123" s="39" t="s">
        <v>84</v>
      </c>
      <c r="H123" s="88">
        <v>-0.1</v>
      </c>
      <c r="I123" s="89">
        <v>0.1</v>
      </c>
    </row>
    <row r="124" spans="2:11" x14ac:dyDescent="0.2">
      <c r="C124" s="40" t="s">
        <v>34</v>
      </c>
      <c r="D124" s="40"/>
      <c r="F124" s="10">
        <f>H28</f>
        <v>41.92941176470589</v>
      </c>
      <c r="H124" s="41">
        <f>F124*(1+H$123)</f>
        <v>37.736470588235299</v>
      </c>
      <c r="I124" s="42">
        <f>F124*(1+I$123)</f>
        <v>46.12235294117648</v>
      </c>
    </row>
    <row r="125" spans="2:11" x14ac:dyDescent="0.2">
      <c r="C125" s="43" t="s">
        <v>35</v>
      </c>
      <c r="D125" s="43"/>
      <c r="E125" s="44"/>
      <c r="F125" s="45">
        <f>I30</f>
        <v>41.92941176470589</v>
      </c>
      <c r="H125" s="10">
        <f>SUM(H124)</f>
        <v>37.736470588235299</v>
      </c>
      <c r="I125" s="46">
        <f>SUM(I124)</f>
        <v>46.12235294117648</v>
      </c>
      <c r="J125" s="1" t="s">
        <v>60</v>
      </c>
    </row>
    <row r="126" spans="2:11" x14ac:dyDescent="0.2">
      <c r="C126" s="47" t="s">
        <v>36</v>
      </c>
      <c r="D126" s="47"/>
      <c r="E126" s="48"/>
      <c r="F126" s="49"/>
      <c r="G126" s="70" t="s">
        <v>61</v>
      </c>
      <c r="H126" s="46"/>
    </row>
    <row r="127" spans="2:11" x14ac:dyDescent="0.2">
      <c r="C127" s="67" t="str">
        <f>B33</f>
        <v>Substrate, also refer to comments at the end of GM table re desinfestation, recycling and waste</v>
      </c>
      <c r="D127" s="66"/>
      <c r="E127" s="66"/>
      <c r="F127" s="113">
        <f>I33</f>
        <v>5.8823529411764701</v>
      </c>
      <c r="G127" s="69">
        <f>F127/$F$140</f>
        <v>0.18144947241037998</v>
      </c>
      <c r="H127" s="46"/>
    </row>
    <row r="128" spans="2:11" x14ac:dyDescent="0.2">
      <c r="B128" s="3"/>
      <c r="C128" s="40" t="str">
        <f>B35</f>
        <v>Plants</v>
      </c>
      <c r="D128" s="40"/>
      <c r="F128" s="146">
        <f>I35</f>
        <v>4.9411764705882355</v>
      </c>
      <c r="G128" s="65">
        <f t="shared" ref="G128:G140" si="2">F128/$F$140</f>
        <v>0.15241755682471919</v>
      </c>
    </row>
    <row r="129" spans="2:9" x14ac:dyDescent="0.2">
      <c r="B129" s="3"/>
      <c r="C129" s="40" t="str">
        <f>B37</f>
        <v>Nutrient solution</v>
      </c>
      <c r="D129" s="40"/>
      <c r="F129" s="146">
        <f>SUM(I37:I37)</f>
        <v>6.0235294117647064E-4</v>
      </c>
      <c r="G129" s="65">
        <f t="shared" si="2"/>
        <v>1.8580425974822912E-5</v>
      </c>
    </row>
    <row r="130" spans="2:9" x14ac:dyDescent="0.2">
      <c r="B130" s="3"/>
      <c r="C130" s="40" t="str">
        <f>B39</f>
        <v>AgChem pest and disease control</v>
      </c>
      <c r="D130" s="40"/>
      <c r="F130" s="146">
        <f>SUM(I40:I48)</f>
        <v>0</v>
      </c>
      <c r="G130" s="65">
        <f t="shared" si="2"/>
        <v>0</v>
      </c>
    </row>
    <row r="131" spans="2:9" x14ac:dyDescent="0.2">
      <c r="B131" s="3"/>
      <c r="C131" s="40" t="str">
        <f>B51</f>
        <v>Beneficials</v>
      </c>
      <c r="D131" s="40"/>
      <c r="F131" s="146">
        <f>I51</f>
        <v>0.32</v>
      </c>
      <c r="G131" s="65">
        <f t="shared" si="2"/>
        <v>9.8708512991246711E-3</v>
      </c>
    </row>
    <row r="132" spans="2:9" x14ac:dyDescent="0.2">
      <c r="B132" s="3"/>
      <c r="C132" s="40" t="s">
        <v>119</v>
      </c>
      <c r="D132" s="40"/>
      <c r="F132" s="146">
        <f>I58+I59+I60+I61+I62</f>
        <v>0</v>
      </c>
      <c r="G132" s="65">
        <f t="shared" si="2"/>
        <v>0</v>
      </c>
    </row>
    <row r="133" spans="2:9" x14ac:dyDescent="0.2">
      <c r="B133" s="3"/>
      <c r="C133" s="40" t="str">
        <f>B64</f>
        <v>Irrigation</v>
      </c>
      <c r="D133" s="40"/>
      <c r="F133" s="146">
        <f>SUM(I68)</f>
        <v>1.807058823529412E-4</v>
      </c>
      <c r="G133" s="65">
        <f t="shared" si="2"/>
        <v>5.574127792446874E-6</v>
      </c>
    </row>
    <row r="134" spans="2:9" x14ac:dyDescent="0.2">
      <c r="B134" s="3"/>
      <c r="C134" s="40" t="str">
        <f>D70</f>
        <v>Water cost</v>
      </c>
      <c r="D134" s="40"/>
      <c r="F134" s="146">
        <f>I70</f>
        <v>9.0352941176470599E-5</v>
      </c>
      <c r="G134" s="65">
        <f t="shared" si="2"/>
        <v>2.787063896223437E-6</v>
      </c>
    </row>
    <row r="135" spans="2:9" x14ac:dyDescent="0.2">
      <c r="B135" s="3"/>
      <c r="C135" s="40" t="str">
        <f>B76</f>
        <v>Packing and transport</v>
      </c>
      <c r="D135" s="40"/>
      <c r="F135" s="146">
        <f>SUM(I76:I84)</f>
        <v>12.238180147058825</v>
      </c>
      <c r="G135" s="65">
        <f t="shared" si="2"/>
        <v>0.37750392626099177</v>
      </c>
    </row>
    <row r="136" spans="2:9" x14ac:dyDescent="0.2">
      <c r="B136" s="3"/>
      <c r="C136" s="40" t="str">
        <f>B85</f>
        <v>Repairs and maintenance component</v>
      </c>
      <c r="D136" s="40"/>
      <c r="F136" s="146">
        <f>SUM(I85:I88)</f>
        <v>0.62745098039215685</v>
      </c>
      <c r="G136" s="65">
        <f t="shared" si="2"/>
        <v>1.9354610390440532E-2</v>
      </c>
    </row>
    <row r="137" spans="2:9" x14ac:dyDescent="0.2">
      <c r="B137" s="3"/>
      <c r="C137" s="40" t="str">
        <f>B89</f>
        <v>Equipment - fuel &amp; repairs</v>
      </c>
      <c r="D137" s="40"/>
      <c r="F137" s="146">
        <f>SUM(I89:I94)</f>
        <v>0.14006023529411765</v>
      </c>
      <c r="G137" s="65">
        <f t="shared" si="2"/>
        <v>4.3203554859645261E-3</v>
      </c>
    </row>
    <row r="138" spans="2:9" x14ac:dyDescent="0.2">
      <c r="B138" s="3"/>
      <c r="C138" s="40" t="str">
        <f>B95</f>
        <v>Casual/other labour</v>
      </c>
      <c r="D138" s="40"/>
      <c r="F138" s="146">
        <f>SUM(I95:I106)</f>
        <v>8.2683373176470596</v>
      </c>
      <c r="G138" s="65">
        <f t="shared" si="2"/>
        <v>0.2550485254796796</v>
      </c>
    </row>
    <row r="139" spans="2:9" x14ac:dyDescent="0.2">
      <c r="B139" s="3"/>
      <c r="C139" s="40" t="str">
        <f>B107</f>
        <v>Levies</v>
      </c>
      <c r="D139" s="40"/>
      <c r="F139" s="146">
        <f>SUM(I107:I108)</f>
        <v>2.5157647058823531E-4</v>
      </c>
      <c r="G139" s="65">
        <f t="shared" si="2"/>
        <v>7.7602310360471325E-6</v>
      </c>
    </row>
    <row r="140" spans="2:9" x14ac:dyDescent="0.2">
      <c r="B140" s="3"/>
      <c r="C140" s="43" t="s">
        <v>30</v>
      </c>
      <c r="D140" s="43"/>
      <c r="E140" s="44"/>
      <c r="F140" s="45">
        <f>SUM(F127:F139)</f>
        <v>32.418683080392164</v>
      </c>
      <c r="G140" s="65">
        <f t="shared" si="2"/>
        <v>1</v>
      </c>
      <c r="H140" s="50">
        <f>F140</f>
        <v>32.418683080392164</v>
      </c>
      <c r="I140" s="42">
        <f>F140</f>
        <v>32.418683080392164</v>
      </c>
    </row>
    <row r="141" spans="2:9" ht="16" thickBot="1" x14ac:dyDescent="0.25">
      <c r="B141" s="3"/>
      <c r="C141" s="51" t="s">
        <v>31</v>
      </c>
      <c r="D141" s="51"/>
      <c r="E141" s="52"/>
      <c r="F141" s="198">
        <f>F125-F140</f>
        <v>9.510728684313726</v>
      </c>
      <c r="H141" s="10">
        <f>H125-H140</f>
        <v>5.3177875078431356</v>
      </c>
      <c r="I141" s="46">
        <f>I125-I140</f>
        <v>13.703669860784316</v>
      </c>
    </row>
    <row r="142" spans="2:9" x14ac:dyDescent="0.2">
      <c r="B142" s="3"/>
      <c r="F142" s="53"/>
      <c r="H142" s="54">
        <f>(H141-$F141)/$F141</f>
        <v>-0.44086434548239289</v>
      </c>
      <c r="I142" s="55">
        <f>(I141-$F141)/$F141</f>
        <v>0.44086434548239289</v>
      </c>
    </row>
    <row r="143" spans="2:9" x14ac:dyDescent="0.2">
      <c r="B143" s="3"/>
      <c r="F143" s="10"/>
    </row>
    <row r="146" spans="1:11" ht="19" x14ac:dyDescent="0.25">
      <c r="D146" s="2"/>
      <c r="E146" s="2" t="s">
        <v>108</v>
      </c>
      <c r="F146" s="2"/>
      <c r="G146" s="2"/>
      <c r="H146" s="2"/>
    </row>
    <row r="147" spans="1:11" ht="16" thickBot="1" x14ac:dyDescent="0.25">
      <c r="C147" s="56"/>
      <c r="D147" s="56"/>
      <c r="E147" s="57"/>
      <c r="F147" s="57"/>
    </row>
    <row r="148" spans="1:11" x14ac:dyDescent="0.2">
      <c r="C148" s="3"/>
      <c r="D148" s="3"/>
      <c r="E148" s="300" t="s">
        <v>33</v>
      </c>
      <c r="F148" s="300"/>
      <c r="G148" s="300"/>
    </row>
    <row r="149" spans="1:11" x14ac:dyDescent="0.2">
      <c r="C149" s="40"/>
      <c r="E149" s="87">
        <v>-0.1</v>
      </c>
      <c r="F149" s="58" t="s">
        <v>37</v>
      </c>
      <c r="G149" s="87">
        <v>0.1</v>
      </c>
    </row>
    <row r="150" spans="1:11" x14ac:dyDescent="0.2">
      <c r="C150" s="59"/>
      <c r="D150" s="12"/>
      <c r="E150" s="60">
        <f>F150*(1+E149)</f>
        <v>7.9200000000000008</v>
      </c>
      <c r="F150" s="60">
        <f>H27</f>
        <v>8.8000000000000007</v>
      </c>
      <c r="G150" s="60">
        <f>F150*(1+G149)</f>
        <v>9.6800000000000015</v>
      </c>
    </row>
    <row r="151" spans="1:11" x14ac:dyDescent="0.2">
      <c r="C151" s="40"/>
      <c r="D151" s="40"/>
      <c r="E151" s="5" t="s">
        <v>84</v>
      </c>
      <c r="F151" s="5" t="s">
        <v>84</v>
      </c>
      <c r="G151" s="5" t="s">
        <v>84</v>
      </c>
    </row>
    <row r="152" spans="1:11" ht="16" thickBot="1" x14ac:dyDescent="0.25">
      <c r="C152" s="61" t="s">
        <v>37</v>
      </c>
      <c r="D152" s="148">
        <f>H20</f>
        <v>4.764705882352942</v>
      </c>
      <c r="E152" s="62">
        <f>E150*D152-I109</f>
        <v>5.3177875078431498</v>
      </c>
      <c r="F152" s="62">
        <f>F141</f>
        <v>9.510728684313726</v>
      </c>
      <c r="G152" s="62">
        <f>G150*D152-I109</f>
        <v>13.703669860784331</v>
      </c>
    </row>
    <row r="153" spans="1:11" x14ac:dyDescent="0.2">
      <c r="C153" s="19"/>
      <c r="D153" s="147"/>
      <c r="E153" s="10"/>
      <c r="F153" s="10"/>
      <c r="G153" s="10"/>
    </row>
    <row r="154" spans="1:11" x14ac:dyDescent="0.2">
      <c r="C154" s="19"/>
      <c r="D154" s="147"/>
      <c r="E154" s="10"/>
      <c r="F154" s="10"/>
      <c r="G154" s="10"/>
    </row>
    <row r="155" spans="1:11" x14ac:dyDescent="0.2">
      <c r="C155" s="1" t="s">
        <v>107</v>
      </c>
    </row>
    <row r="156" spans="1:11" x14ac:dyDescent="0.2">
      <c r="B156" s="293" t="s">
        <v>110</v>
      </c>
      <c r="C156" s="296" t="s">
        <v>109</v>
      </c>
      <c r="D156" s="296"/>
      <c r="E156" s="296"/>
      <c r="F156" s="296"/>
      <c r="G156" s="296"/>
      <c r="H156" s="296"/>
      <c r="I156" s="296"/>
      <c r="J156" s="296"/>
      <c r="K156" s="297"/>
    </row>
    <row r="157" spans="1:11" ht="16" x14ac:dyDescent="0.2">
      <c r="A157" s="63"/>
      <c r="B157" s="294"/>
      <c r="C157" s="101">
        <f>F141</f>
        <v>9.510728684313726</v>
      </c>
      <c r="D157" s="102">
        <v>3</v>
      </c>
      <c r="E157" s="102">
        <v>4</v>
      </c>
      <c r="F157" s="102">
        <v>5</v>
      </c>
      <c r="G157" s="102">
        <v>6</v>
      </c>
      <c r="H157" s="102">
        <v>7</v>
      </c>
      <c r="I157" s="102">
        <v>8</v>
      </c>
      <c r="J157" s="102">
        <v>9</v>
      </c>
      <c r="K157" s="207">
        <v>10</v>
      </c>
    </row>
    <row r="158" spans="1:11" x14ac:dyDescent="0.2">
      <c r="B158" s="294"/>
      <c r="C158" s="98">
        <v>2</v>
      </c>
      <c r="D158" s="201">
        <f t="dataTable" ref="D158:K164" dt2D="1" dtr="1" r1="H33" r2="F26"/>
        <v>8.051928025490195</v>
      </c>
      <c r="E158" s="202">
        <v>6.8754574372549015</v>
      </c>
      <c r="F158" s="202">
        <v>5.6989868490196116</v>
      </c>
      <c r="G158" s="202">
        <v>4.5225162607843146</v>
      </c>
      <c r="H158" s="202">
        <v>3.3460456725490246</v>
      </c>
      <c r="I158" s="202">
        <v>2.1695750843137276</v>
      </c>
      <c r="J158" s="202">
        <v>0.99310449607843765</v>
      </c>
      <c r="K158" s="208">
        <v>-0.18336609215685229</v>
      </c>
    </row>
    <row r="159" spans="1:11" x14ac:dyDescent="0.2">
      <c r="B159" s="294"/>
      <c r="C159" s="99">
        <v>2.2000000000000002</v>
      </c>
      <c r="D159" s="203">
        <v>11.863669860784313</v>
      </c>
      <c r="E159" s="204">
        <v>10.687199272549019</v>
      </c>
      <c r="F159" s="204">
        <v>9.510728684313726</v>
      </c>
      <c r="G159" s="204">
        <v>8.3342580960784289</v>
      </c>
      <c r="H159" s="204">
        <v>7.157787507843139</v>
      </c>
      <c r="I159" s="204">
        <v>5.981316919607842</v>
      </c>
      <c r="J159" s="204">
        <v>4.804846331372552</v>
      </c>
      <c r="K159" s="209">
        <v>3.6283757431372621</v>
      </c>
    </row>
    <row r="160" spans="1:11" x14ac:dyDescent="0.2">
      <c r="B160" s="294"/>
      <c r="C160" s="99">
        <v>2.4</v>
      </c>
      <c r="D160" s="203">
        <v>15.675411696078431</v>
      </c>
      <c r="E160" s="204">
        <v>14.498941107843137</v>
      </c>
      <c r="F160" s="204">
        <v>13.322470519607847</v>
      </c>
      <c r="G160" s="204">
        <v>12.14599993137255</v>
      </c>
      <c r="H160" s="204">
        <v>10.96952934313726</v>
      </c>
      <c r="I160" s="204">
        <v>9.7930587549019634</v>
      </c>
      <c r="J160" s="204">
        <v>8.6165881666666735</v>
      </c>
      <c r="K160" s="209">
        <v>7.4401175784313835</v>
      </c>
    </row>
    <row r="161" spans="2:11" x14ac:dyDescent="0.2">
      <c r="B161" s="294"/>
      <c r="C161" s="99">
        <v>2.6</v>
      </c>
      <c r="D161" s="203">
        <v>19.487153531372549</v>
      </c>
      <c r="E161" s="204">
        <v>18.310682943137255</v>
      </c>
      <c r="F161" s="204">
        <v>17.134212354901962</v>
      </c>
      <c r="G161" s="204">
        <v>15.957741766666665</v>
      </c>
      <c r="H161" s="204">
        <v>14.781271178431375</v>
      </c>
      <c r="I161" s="204">
        <v>13.604800590196078</v>
      </c>
      <c r="J161" s="204">
        <v>12.428330001960788</v>
      </c>
      <c r="K161" s="209">
        <v>11.251859413725498</v>
      </c>
    </row>
    <row r="162" spans="2:11" x14ac:dyDescent="0.2">
      <c r="B162" s="294"/>
      <c r="C162" s="99">
        <v>2.7</v>
      </c>
      <c r="D162" s="203">
        <v>21.39302444901961</v>
      </c>
      <c r="E162" s="204">
        <v>20.216553860784316</v>
      </c>
      <c r="F162" s="204">
        <v>19.040083272549026</v>
      </c>
      <c r="G162" s="204">
        <v>17.863612684313729</v>
      </c>
      <c r="H162" s="204">
        <v>16.687142096078439</v>
      </c>
      <c r="I162" s="204">
        <v>15.510671507843142</v>
      </c>
      <c r="J162" s="204">
        <v>14.334200919607852</v>
      </c>
      <c r="K162" s="209">
        <v>13.157730331372562</v>
      </c>
    </row>
    <row r="163" spans="2:11" x14ac:dyDescent="0.2">
      <c r="B163" s="294"/>
      <c r="C163" s="99">
        <v>2.8</v>
      </c>
      <c r="D163" s="203">
        <v>23.29889536666667</v>
      </c>
      <c r="E163" s="204">
        <v>22.122424778431377</v>
      </c>
      <c r="F163" s="204">
        <v>20.945954190196083</v>
      </c>
      <c r="G163" s="204">
        <v>19.769483601960786</v>
      </c>
      <c r="H163" s="204">
        <v>18.593013013725496</v>
      </c>
      <c r="I163" s="204">
        <v>17.416542425490199</v>
      </c>
      <c r="J163" s="204">
        <v>16.240071837254909</v>
      </c>
      <c r="K163" s="209">
        <v>15.063601249019619</v>
      </c>
    </row>
    <row r="164" spans="2:11" x14ac:dyDescent="0.2">
      <c r="B164" s="295"/>
      <c r="C164" s="100">
        <v>3</v>
      </c>
      <c r="D164" s="205">
        <v>27.110637201960788</v>
      </c>
      <c r="E164" s="206">
        <v>25.934166613725495</v>
      </c>
      <c r="F164" s="206">
        <v>24.757696025490198</v>
      </c>
      <c r="G164" s="206">
        <v>23.581225437254901</v>
      </c>
      <c r="H164" s="206">
        <v>22.404754849019611</v>
      </c>
      <c r="I164" s="206">
        <v>21.228284260784314</v>
      </c>
      <c r="J164" s="206">
        <v>20.051813672549024</v>
      </c>
      <c r="K164" s="210">
        <v>18.875343084313734</v>
      </c>
    </row>
    <row r="165" spans="2:11" x14ac:dyDescent="0.2">
      <c r="C165" s="64" t="s">
        <v>66</v>
      </c>
      <c r="D165" s="211">
        <f>F141</f>
        <v>9.510728684313726</v>
      </c>
    </row>
  </sheetData>
  <sheetProtection selectLockedCells="1"/>
  <mergeCells count="13">
    <mergeCell ref="D4:F4"/>
    <mergeCell ref="K34:L34"/>
    <mergeCell ref="B156:B164"/>
    <mergeCell ref="C156:K156"/>
    <mergeCell ref="B6:I6"/>
    <mergeCell ref="B74:I74"/>
    <mergeCell ref="C121:F121"/>
    <mergeCell ref="E148:G148"/>
    <mergeCell ref="H122:I122"/>
    <mergeCell ref="K37:L37"/>
    <mergeCell ref="K39:L39"/>
    <mergeCell ref="D114:G114"/>
    <mergeCell ref="G112:H112"/>
  </mergeCells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19AE7-C440-2542-859D-9BFD05559958}">
  <dimension ref="A1:I23"/>
  <sheetViews>
    <sheetView topLeftCell="A6" workbookViewId="0">
      <selection activeCell="G23" sqref="G23"/>
    </sheetView>
  </sheetViews>
  <sheetFormatPr baseColWidth="10" defaultRowHeight="16" x14ac:dyDescent="0.2"/>
  <cols>
    <col min="1" max="1" width="16.6640625" customWidth="1"/>
    <col min="2" max="2" width="18.1640625" customWidth="1"/>
    <col min="3" max="3" width="17" customWidth="1"/>
    <col min="4" max="4" width="14.1640625" customWidth="1"/>
    <col min="5" max="5" width="16" customWidth="1"/>
    <col min="6" max="6" width="10.83203125" customWidth="1"/>
  </cols>
  <sheetData>
    <row r="1" spans="1:9" ht="30" customHeight="1" x14ac:dyDescent="0.2">
      <c r="A1" s="305" t="s">
        <v>143</v>
      </c>
      <c r="B1" s="312" t="s">
        <v>151</v>
      </c>
      <c r="C1" s="310" t="s">
        <v>148</v>
      </c>
      <c r="D1" s="310" t="s">
        <v>146</v>
      </c>
      <c r="E1" s="309" t="s">
        <v>139</v>
      </c>
      <c r="F1" s="309"/>
      <c r="G1" s="309"/>
      <c r="I1" t="s">
        <v>160</v>
      </c>
    </row>
    <row r="2" spans="1:9" x14ac:dyDescent="0.2">
      <c r="A2" s="306"/>
      <c r="B2" s="313"/>
      <c r="C2" s="311"/>
      <c r="D2" s="311"/>
      <c r="E2" s="281" t="s">
        <v>142</v>
      </c>
      <c r="F2" s="281" t="s">
        <v>144</v>
      </c>
      <c r="G2" s="282" t="s">
        <v>150</v>
      </c>
    </row>
    <row r="3" spans="1:9" ht="33" customHeight="1" x14ac:dyDescent="0.2">
      <c r="A3" s="278"/>
      <c r="B3" s="278"/>
      <c r="C3" s="278"/>
      <c r="D3" s="278"/>
      <c r="E3" s="279"/>
      <c r="F3" s="279"/>
      <c r="G3" s="278"/>
    </row>
    <row r="4" spans="1:9" x14ac:dyDescent="0.2">
      <c r="E4" s="280"/>
      <c r="F4" s="280"/>
    </row>
    <row r="5" spans="1:9" x14ac:dyDescent="0.2">
      <c r="E5" s="280"/>
      <c r="F5" s="280"/>
    </row>
    <row r="6" spans="1:9" s="277" customFormat="1" ht="51" x14ac:dyDescent="0.2">
      <c r="A6" s="314" t="s">
        <v>164</v>
      </c>
      <c r="B6" s="288" t="s">
        <v>162</v>
      </c>
      <c r="C6" s="288" t="s">
        <v>163</v>
      </c>
      <c r="E6" s="287"/>
      <c r="F6" s="287"/>
    </row>
    <row r="7" spans="1:9" x14ac:dyDescent="0.2">
      <c r="A7" s="315"/>
      <c r="B7" s="278"/>
      <c r="C7" s="278"/>
      <c r="E7" s="280"/>
      <c r="F7" s="280"/>
    </row>
    <row r="8" spans="1:9" x14ac:dyDescent="0.2">
      <c r="E8" s="280"/>
      <c r="F8" s="280"/>
    </row>
    <row r="9" spans="1:9" x14ac:dyDescent="0.2">
      <c r="E9" s="280"/>
      <c r="F9" s="280"/>
    </row>
    <row r="11" spans="1:9" ht="49" customHeight="1" x14ac:dyDescent="0.2">
      <c r="A11" s="307" t="s">
        <v>147</v>
      </c>
      <c r="B11" s="323" t="s">
        <v>149</v>
      </c>
      <c r="C11" s="323" t="s">
        <v>145</v>
      </c>
      <c r="D11" s="323" t="s">
        <v>152</v>
      </c>
      <c r="E11" s="321" t="s">
        <v>139</v>
      </c>
      <c r="F11" s="322"/>
      <c r="G11" s="322"/>
    </row>
    <row r="12" spans="1:9" x14ac:dyDescent="0.2">
      <c r="A12" s="308"/>
      <c r="B12" s="324"/>
      <c r="C12" s="324"/>
      <c r="D12" s="324"/>
      <c r="E12" s="283" t="s">
        <v>153</v>
      </c>
      <c r="F12" s="283" t="s">
        <v>144</v>
      </c>
      <c r="G12" s="284" t="s">
        <v>150</v>
      </c>
    </row>
    <row r="13" spans="1:9" ht="33" customHeight="1" x14ac:dyDescent="0.2">
      <c r="A13" s="278"/>
      <c r="B13" s="278"/>
      <c r="C13" s="278"/>
      <c r="D13" s="278"/>
      <c r="E13" s="278"/>
      <c r="F13" s="278"/>
      <c r="G13" s="278"/>
    </row>
    <row r="14" spans="1:9" x14ac:dyDescent="0.2">
      <c r="A14" s="132"/>
    </row>
    <row r="15" spans="1:9" ht="17" customHeight="1" x14ac:dyDescent="0.2">
      <c r="A15" s="320" t="s">
        <v>158</v>
      </c>
      <c r="B15" s="320"/>
      <c r="C15" s="320"/>
      <c r="D15" s="320"/>
      <c r="E15" s="320"/>
    </row>
    <row r="16" spans="1:9" x14ac:dyDescent="0.2">
      <c r="A16" s="325" t="s">
        <v>156</v>
      </c>
      <c r="B16" s="325"/>
      <c r="C16" s="317" t="s">
        <v>159</v>
      </c>
      <c r="D16" s="319" t="s">
        <v>157</v>
      </c>
      <c r="E16" s="319"/>
      <c r="G16" t="s">
        <v>161</v>
      </c>
    </row>
    <row r="17" spans="1:8" x14ac:dyDescent="0.2">
      <c r="A17" s="285" t="s">
        <v>154</v>
      </c>
      <c r="B17" s="278" t="s">
        <v>155</v>
      </c>
      <c r="C17" s="318"/>
      <c r="D17" s="319"/>
      <c r="E17" s="319"/>
    </row>
    <row r="18" spans="1:8" ht="31" customHeight="1" x14ac:dyDescent="0.2">
      <c r="A18" s="285"/>
      <c r="B18" s="278"/>
      <c r="C18" s="278"/>
      <c r="D18" s="278"/>
      <c r="E18" s="278"/>
    </row>
    <row r="19" spans="1:8" x14ac:dyDescent="0.2">
      <c r="A19" s="132"/>
    </row>
    <row r="21" spans="1:8" ht="16" customHeight="1" x14ac:dyDescent="0.2">
      <c r="A21" s="316" t="s">
        <v>165</v>
      </c>
      <c r="B21" s="316"/>
      <c r="C21" s="316"/>
      <c r="D21" s="316"/>
      <c r="E21" s="286"/>
      <c r="F21" s="286"/>
      <c r="G21" s="286"/>
      <c r="H21" s="286"/>
    </row>
    <row r="22" spans="1:8" ht="34" x14ac:dyDescent="0.2">
      <c r="A22" s="289" t="s">
        <v>166</v>
      </c>
      <c r="B22" s="290" t="s">
        <v>167</v>
      </c>
      <c r="C22" s="289" t="s">
        <v>168</v>
      </c>
      <c r="D22" s="289" t="s">
        <v>169</v>
      </c>
      <c r="E22" s="277"/>
    </row>
    <row r="23" spans="1:8" ht="30" customHeight="1" x14ac:dyDescent="0.2">
      <c r="A23" s="278"/>
      <c r="B23" s="278"/>
      <c r="C23" s="278"/>
      <c r="D23" s="278"/>
    </row>
  </sheetData>
  <mergeCells count="16">
    <mergeCell ref="A21:D21"/>
    <mergeCell ref="C16:C17"/>
    <mergeCell ref="D16:E17"/>
    <mergeCell ref="A15:E15"/>
    <mergeCell ref="E11:G11"/>
    <mergeCell ref="B11:B12"/>
    <mergeCell ref="C11:C12"/>
    <mergeCell ref="D11:D12"/>
    <mergeCell ref="A16:B16"/>
    <mergeCell ref="A1:A2"/>
    <mergeCell ref="A11:A12"/>
    <mergeCell ref="E1:G1"/>
    <mergeCell ref="D1:D2"/>
    <mergeCell ref="C1:C2"/>
    <mergeCell ref="B1:B2"/>
    <mergeCell ref="A6:A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1E5B03618C949962F554F2AE0C70A" ma:contentTypeVersion="16" ma:contentTypeDescription="Create a new document." ma:contentTypeScope="" ma:versionID="9da05c5fa0dc9f20cf42673fffeb6bb8">
  <xsd:schema xmlns:xsd="http://www.w3.org/2001/XMLSchema" xmlns:xs="http://www.w3.org/2001/XMLSchema" xmlns:p="http://schemas.microsoft.com/office/2006/metadata/properties" xmlns:ns2="cb676d1b-ee62-43c7-95e5-277378331da8" xmlns:ns3="9fe6c7ce-4e8a-4c2e-95c6-53155742b2cf" targetNamespace="http://schemas.microsoft.com/office/2006/metadata/properties" ma:root="true" ma:fieldsID="371698c65b55747600211061a5c96de7" ns2:_="" ns3:_="">
    <xsd:import namespace="cb676d1b-ee62-43c7-95e5-277378331da8"/>
    <xsd:import namespace="9fe6c7ce-4e8a-4c2e-95c6-53155742b2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76d1b-ee62-43c7-95e5-277378331d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eb873b-258c-451f-8696-862088a6e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e6c7ce-4e8a-4c2e-95c6-53155742b2c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9a25f7-e3da-42da-b585-96fcfeae93be}" ma:internalName="TaxCatchAll" ma:showField="CatchAllData" ma:web="9fe6c7ce-4e8a-4c2e-95c6-53155742b2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e6c7ce-4e8a-4c2e-95c6-53155742b2cf" xsi:nil="true"/>
    <lcf76f155ced4ddcb4097134ff3c332f xmlns="cb676d1b-ee62-43c7-95e5-277378331da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208268-EF0B-4EE4-A1BC-FDD95E78B2C2}"/>
</file>

<file path=customXml/itemProps2.xml><?xml version="1.0" encoding="utf-8"?>
<ds:datastoreItem xmlns:ds="http://schemas.openxmlformats.org/officeDocument/2006/customXml" ds:itemID="{99A2A675-37E4-4FD5-924C-B21987E8E939}"/>
</file>

<file path=customXml/itemProps3.xml><?xml version="1.0" encoding="utf-8"?>
<ds:datastoreItem xmlns:ds="http://schemas.openxmlformats.org/officeDocument/2006/customXml" ds:itemID="{A3AAF2E9-6573-47A1-A3B0-EFA0EF9421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GM calc</vt:lpstr>
      <vt:lpstr>substrate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Blaesing</dc:creator>
  <cp:lastModifiedBy>Doris Blaesing</cp:lastModifiedBy>
  <dcterms:created xsi:type="dcterms:W3CDTF">2022-08-22T23:57:50Z</dcterms:created>
  <dcterms:modified xsi:type="dcterms:W3CDTF">2025-10-28T00:53:40Z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0x0101006C91E5B03618C949962F554F2AE0C70A</vt:lpwstr>
  </property>
  <property fmtid="{D5CDD505-2E9C-101B-9397-08002B2CF9AE}" pid="3" name="MediaServiceImageTags">
    <vt:lpwstr/>
  </property>
</Properties>
</file>